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N:\543_DZH_Beleidsondersteunende_Acties\543_80_Circulaire_Economie\SHAREPAIR\7_WP_LT_LongTerm\LT_D3_cities\package\"/>
    </mc:Choice>
  </mc:AlternateContent>
  <xr:revisionPtr revIDLastSave="0" documentId="8_{0FB38BB3-A7AD-40FB-94D5-FAB5CE94AB1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in hypotheses" sheetId="1" r:id="rId1"/>
    <sheet name="Repair Service" sheetId="2" r:id="rId2"/>
    <sheet name="Social Integration Company" sheetId="3" r:id="rId3"/>
    <sheet name="Mobile Repair Service" sheetId="4" r:id="rId4"/>
    <sheet name="Fun &amp; Education Repair Center" sheetId="5" r:id="rId5"/>
    <sheet name="Training Repair Center" sheetId="6" r:id="rId6"/>
    <sheet name="Multi-activities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hMbMOUwYezSB6GrLhS3/Gjm7zHKA=="/>
    </ext>
  </extLst>
</workbook>
</file>

<file path=xl/calcChain.xml><?xml version="1.0" encoding="utf-8"?>
<calcChain xmlns="http://schemas.openxmlformats.org/spreadsheetml/2006/main">
  <c r="D110" i="7" l="1"/>
  <c r="C110" i="7"/>
  <c r="B110" i="7"/>
  <c r="H93" i="7" s="1"/>
  <c r="D108" i="7"/>
  <c r="D102" i="7"/>
  <c r="A99" i="7"/>
  <c r="A100" i="7" s="1"/>
  <c r="B101" i="7" s="1"/>
  <c r="A97" i="7"/>
  <c r="A96" i="7"/>
  <c r="H95" i="7"/>
  <c r="A95" i="7"/>
  <c r="H94" i="7"/>
  <c r="B94" i="7"/>
  <c r="A94" i="7"/>
  <c r="B93" i="7"/>
  <c r="A93" i="7"/>
  <c r="E86" i="7"/>
  <c r="B86" i="7"/>
  <c r="D76" i="7"/>
  <c r="F76" i="7" s="1"/>
  <c r="A73" i="7"/>
  <c r="A74" i="7" s="1"/>
  <c r="B75" i="7" s="1"/>
  <c r="B76" i="7" s="1"/>
  <c r="H72" i="7"/>
  <c r="H71" i="7"/>
  <c r="A71" i="7"/>
  <c r="D64" i="7"/>
  <c r="B61" i="7"/>
  <c r="A54" i="7"/>
  <c r="A55" i="7" s="1"/>
  <c r="B56" i="7" s="1"/>
  <c r="B57" i="7" s="1"/>
  <c r="C65" i="7" s="1"/>
  <c r="B52" i="7"/>
  <c r="A52" i="7"/>
  <c r="A51" i="7"/>
  <c r="B50" i="7"/>
  <c r="A50" i="7"/>
  <c r="H49" i="7"/>
  <c r="A49" i="7"/>
  <c r="D42" i="7"/>
  <c r="B39" i="7"/>
  <c r="A30" i="7"/>
  <c r="B29" i="7"/>
  <c r="A29" i="7"/>
  <c r="B28" i="7"/>
  <c r="A28" i="7"/>
  <c r="H27" i="7"/>
  <c r="A27" i="7"/>
  <c r="A32" i="7" s="1"/>
  <c r="A33" i="7" s="1"/>
  <c r="B34" i="7" s="1"/>
  <c r="B35" i="7" s="1"/>
  <c r="C43" i="7" s="1"/>
  <c r="H17" i="7"/>
  <c r="G17" i="7"/>
  <c r="B17" i="7"/>
  <c r="A17" i="7"/>
  <c r="G16" i="7"/>
  <c r="H16" i="7" s="1"/>
  <c r="B16" i="7"/>
  <c r="A16" i="7"/>
  <c r="F15" i="7"/>
  <c r="E15" i="7"/>
  <c r="D15" i="7"/>
  <c r="G15" i="7" s="1"/>
  <c r="C15" i="7"/>
  <c r="B15" i="7"/>
  <c r="A15" i="7"/>
  <c r="G14" i="7"/>
  <c r="F14" i="7"/>
  <c r="E14" i="7"/>
  <c r="D14" i="7"/>
  <c r="C14" i="7"/>
  <c r="B14" i="7"/>
  <c r="H14" i="7" s="1"/>
  <c r="A14" i="7"/>
  <c r="F13" i="7"/>
  <c r="E13" i="7"/>
  <c r="D13" i="7"/>
  <c r="C13" i="7"/>
  <c r="G13" i="7" s="1"/>
  <c r="A13" i="7"/>
  <c r="B12" i="7"/>
  <c r="A12" i="7"/>
  <c r="G11" i="7"/>
  <c r="H11" i="7" s="1"/>
  <c r="B11" i="7"/>
  <c r="A11" i="7"/>
  <c r="G10" i="7"/>
  <c r="B10" i="7"/>
  <c r="H10" i="7" s="1"/>
  <c r="A10" i="7"/>
  <c r="B97" i="7" s="1"/>
  <c r="G9" i="7"/>
  <c r="A9" i="7"/>
  <c r="B96" i="7" s="1"/>
  <c r="G8" i="7"/>
  <c r="H8" i="7" s="1"/>
  <c r="B8" i="7"/>
  <c r="A8" i="7"/>
  <c r="B95" i="7" s="1"/>
  <c r="G7" i="7"/>
  <c r="B7" i="7"/>
  <c r="H7" i="7" s="1"/>
  <c r="A7" i="7"/>
  <c r="G6" i="7"/>
  <c r="B6" i="7"/>
  <c r="H6" i="7" s="1"/>
  <c r="A6" i="7"/>
  <c r="B27" i="7" s="1"/>
  <c r="G5" i="7"/>
  <c r="H5" i="7" s="1"/>
  <c r="B5" i="7"/>
  <c r="A5" i="7"/>
  <c r="G4" i="7"/>
  <c r="A4" i="7"/>
  <c r="G3" i="7"/>
  <c r="B3" i="7"/>
  <c r="H3" i="7" s="1"/>
  <c r="A3" i="7"/>
  <c r="B2" i="7"/>
  <c r="A2" i="7"/>
  <c r="H40" i="6"/>
  <c r="E40" i="6"/>
  <c r="B40" i="6"/>
  <c r="B42" i="6" s="1"/>
  <c r="H38" i="6"/>
  <c r="E38" i="6"/>
  <c r="B38" i="6"/>
  <c r="H34" i="6"/>
  <c r="H36" i="6" s="1"/>
  <c r="E34" i="6"/>
  <c r="E36" i="6" s="1"/>
  <c r="B34" i="6"/>
  <c r="B36" i="6" s="1"/>
  <c r="B24" i="6"/>
  <c r="A24" i="6"/>
  <c r="A23" i="6"/>
  <c r="B22" i="6"/>
  <c r="A22" i="6"/>
  <c r="A21" i="6"/>
  <c r="A26" i="6" s="1"/>
  <c r="A27" i="6" s="1"/>
  <c r="B17" i="6"/>
  <c r="D17" i="6" s="1"/>
  <c r="A17" i="6"/>
  <c r="B16" i="6"/>
  <c r="D16" i="6" s="1"/>
  <c r="A16" i="6"/>
  <c r="B15" i="6"/>
  <c r="D15" i="6" s="1"/>
  <c r="A15" i="6"/>
  <c r="B14" i="6"/>
  <c r="D14" i="6" s="1"/>
  <c r="A14" i="6"/>
  <c r="A13" i="6"/>
  <c r="B12" i="6"/>
  <c r="A12" i="6"/>
  <c r="B11" i="6"/>
  <c r="D11" i="6" s="1"/>
  <c r="A11" i="6"/>
  <c r="B10" i="6"/>
  <c r="D10" i="6" s="1"/>
  <c r="A10" i="6"/>
  <c r="A9" i="6"/>
  <c r="B8" i="6"/>
  <c r="D8" i="6" s="1"/>
  <c r="A8" i="6"/>
  <c r="B23" i="6" s="1"/>
  <c r="B7" i="6"/>
  <c r="D7" i="6" s="1"/>
  <c r="A7" i="6"/>
  <c r="B6" i="6"/>
  <c r="D6" i="6" s="1"/>
  <c r="A6" i="6"/>
  <c r="B21" i="6" s="1"/>
  <c r="B5" i="6"/>
  <c r="D5" i="6" s="1"/>
  <c r="A5" i="6"/>
  <c r="A4" i="6"/>
  <c r="B3" i="6"/>
  <c r="D3" i="6" s="1"/>
  <c r="A3" i="6"/>
  <c r="B2" i="6"/>
  <c r="A2" i="6"/>
  <c r="E37" i="5"/>
  <c r="B36" i="5"/>
  <c r="B39" i="5" s="1"/>
  <c r="A26" i="5"/>
  <c r="A27" i="5" s="1"/>
  <c r="A24" i="5"/>
  <c r="A23" i="5"/>
  <c r="B22" i="5"/>
  <c r="A22" i="5"/>
  <c r="A21" i="5"/>
  <c r="B17" i="5"/>
  <c r="D17" i="5" s="1"/>
  <c r="A17" i="5"/>
  <c r="B16" i="5"/>
  <c r="D16" i="5" s="1"/>
  <c r="A16" i="5"/>
  <c r="B15" i="5"/>
  <c r="D15" i="5" s="1"/>
  <c r="A15" i="5"/>
  <c r="B14" i="5"/>
  <c r="D14" i="5" s="1"/>
  <c r="A14" i="5"/>
  <c r="B13" i="5"/>
  <c r="D13" i="5" s="1"/>
  <c r="A13" i="5"/>
  <c r="B12" i="5"/>
  <c r="A12" i="5"/>
  <c r="B11" i="5"/>
  <c r="D11" i="5" s="1"/>
  <c r="A11" i="5"/>
  <c r="B10" i="5"/>
  <c r="D10" i="5" s="1"/>
  <c r="A10" i="5"/>
  <c r="A9" i="5"/>
  <c r="B24" i="5" s="1"/>
  <c r="B8" i="5"/>
  <c r="D8" i="5" s="1"/>
  <c r="A8" i="5"/>
  <c r="B23" i="5" s="1"/>
  <c r="B7" i="5"/>
  <c r="D7" i="5" s="1"/>
  <c r="A7" i="5"/>
  <c r="B6" i="5"/>
  <c r="D6" i="5" s="1"/>
  <c r="A6" i="5"/>
  <c r="B21" i="5" s="1"/>
  <c r="B5" i="5"/>
  <c r="D5" i="5" s="1"/>
  <c r="A5" i="5"/>
  <c r="A4" i="5"/>
  <c r="B3" i="5"/>
  <c r="D3" i="5" s="1"/>
  <c r="A3" i="5"/>
  <c r="B2" i="5"/>
  <c r="A2" i="5"/>
  <c r="C54" i="4"/>
  <c r="F41" i="4"/>
  <c r="F47" i="4" s="1"/>
  <c r="B34" i="4"/>
  <c r="B33" i="4"/>
  <c r="B32" i="4"/>
  <c r="B35" i="4" s="1"/>
  <c r="B31" i="4"/>
  <c r="B30" i="4"/>
  <c r="A24" i="4"/>
  <c r="A23" i="4"/>
  <c r="A22" i="4"/>
  <c r="A26" i="4" s="1"/>
  <c r="A27" i="4" s="1"/>
  <c r="B21" i="4"/>
  <c r="A21" i="4"/>
  <c r="B17" i="4"/>
  <c r="D17" i="4" s="1"/>
  <c r="A17" i="4"/>
  <c r="B16" i="4"/>
  <c r="D16" i="4" s="1"/>
  <c r="A16" i="4"/>
  <c r="B15" i="4"/>
  <c r="D15" i="4" s="1"/>
  <c r="A15" i="4"/>
  <c r="D14" i="4"/>
  <c r="B14" i="4"/>
  <c r="A14" i="4"/>
  <c r="A13" i="4"/>
  <c r="B12" i="4"/>
  <c r="A12" i="4"/>
  <c r="B11" i="4"/>
  <c r="D11" i="4" s="1"/>
  <c r="A11" i="4"/>
  <c r="D10" i="4"/>
  <c r="B10" i="4"/>
  <c r="A10" i="4"/>
  <c r="A9" i="4"/>
  <c r="B24" i="4" s="1"/>
  <c r="B8" i="4"/>
  <c r="D8" i="4" s="1"/>
  <c r="A8" i="4"/>
  <c r="B23" i="4" s="1"/>
  <c r="B7" i="4"/>
  <c r="D7" i="4" s="1"/>
  <c r="A7" i="4"/>
  <c r="B22" i="4" s="1"/>
  <c r="D6" i="4"/>
  <c r="B6" i="4"/>
  <c r="A6" i="4"/>
  <c r="B5" i="4"/>
  <c r="D5" i="4" s="1"/>
  <c r="A5" i="4"/>
  <c r="A4" i="4"/>
  <c r="B3" i="4"/>
  <c r="D3" i="4" s="1"/>
  <c r="A3" i="4"/>
  <c r="B2" i="4"/>
  <c r="A2" i="4"/>
  <c r="C54" i="3"/>
  <c r="F47" i="3"/>
  <c r="F41" i="3"/>
  <c r="F48" i="3" s="1"/>
  <c r="B34" i="3"/>
  <c r="B33" i="3"/>
  <c r="B32" i="3"/>
  <c r="B35" i="3" s="1"/>
  <c r="B31" i="3"/>
  <c r="B30" i="3"/>
  <c r="C35" i="3" s="1"/>
  <c r="C52" i="3" s="1"/>
  <c r="B24" i="3"/>
  <c r="A24" i="3"/>
  <c r="A26" i="3" s="1"/>
  <c r="A27" i="3" s="1"/>
  <c r="A23" i="3"/>
  <c r="A22" i="3"/>
  <c r="A21" i="3"/>
  <c r="B17" i="3"/>
  <c r="D17" i="3" s="1"/>
  <c r="A17" i="3"/>
  <c r="B16" i="3"/>
  <c r="D16" i="3" s="1"/>
  <c r="A16" i="3"/>
  <c r="D15" i="3"/>
  <c r="B15" i="3"/>
  <c r="A15" i="3"/>
  <c r="D14" i="3"/>
  <c r="B14" i="3"/>
  <c r="A14" i="3"/>
  <c r="A13" i="3"/>
  <c r="B12" i="3"/>
  <c r="A12" i="3"/>
  <c r="D11" i="3"/>
  <c r="B11" i="3"/>
  <c r="A11" i="3"/>
  <c r="D10" i="3"/>
  <c r="B10" i="3"/>
  <c r="A10" i="3"/>
  <c r="A9" i="3"/>
  <c r="D8" i="3"/>
  <c r="A8" i="3"/>
  <c r="B23" i="3" s="1"/>
  <c r="D7" i="3"/>
  <c r="A7" i="3"/>
  <c r="B22" i="3" s="1"/>
  <c r="B6" i="3"/>
  <c r="D6" i="3" s="1"/>
  <c r="A6" i="3"/>
  <c r="B21" i="3" s="1"/>
  <c r="B5" i="3"/>
  <c r="D5" i="3" s="1"/>
  <c r="A5" i="3"/>
  <c r="A4" i="3"/>
  <c r="A3" i="3"/>
  <c r="B2" i="3"/>
  <c r="A2" i="3"/>
  <c r="C55" i="2"/>
  <c r="C54" i="2"/>
  <c r="F47" i="2"/>
  <c r="F41" i="2"/>
  <c r="F48" i="2" s="1"/>
  <c r="C35" i="2"/>
  <c r="C52" i="2" s="1"/>
  <c r="B34" i="2"/>
  <c r="B33" i="2"/>
  <c r="B32" i="2"/>
  <c r="B31" i="2"/>
  <c r="B30" i="2"/>
  <c r="F43" i="2" s="1"/>
  <c r="B24" i="2"/>
  <c r="A24" i="2"/>
  <c r="A23" i="2"/>
  <c r="A22" i="2"/>
  <c r="A21" i="2"/>
  <c r="A26" i="2" s="1"/>
  <c r="A27" i="2" s="1"/>
  <c r="B17" i="2"/>
  <c r="D17" i="2" s="1"/>
  <c r="A17" i="2"/>
  <c r="D16" i="2"/>
  <c r="B16" i="2"/>
  <c r="A16" i="2"/>
  <c r="D15" i="2"/>
  <c r="B15" i="2"/>
  <c r="A15" i="2"/>
  <c r="B14" i="2"/>
  <c r="D14" i="2" s="1"/>
  <c r="A14" i="2"/>
  <c r="B13" i="2"/>
  <c r="D13" i="2" s="1"/>
  <c r="A13" i="2"/>
  <c r="B12" i="2"/>
  <c r="A12" i="2"/>
  <c r="D11" i="2"/>
  <c r="B11" i="2"/>
  <c r="A11" i="2"/>
  <c r="B10" i="2"/>
  <c r="D10" i="2" s="1"/>
  <c r="A10" i="2"/>
  <c r="B9" i="2"/>
  <c r="D9" i="2" s="1"/>
  <c r="A9" i="2"/>
  <c r="D8" i="2"/>
  <c r="B8" i="2"/>
  <c r="A8" i="2"/>
  <c r="B23" i="2" s="1"/>
  <c r="D7" i="2"/>
  <c r="B7" i="2"/>
  <c r="A7" i="2"/>
  <c r="B22" i="2" s="1"/>
  <c r="B6" i="2"/>
  <c r="D6" i="2" s="1"/>
  <c r="A6" i="2"/>
  <c r="B21" i="2" s="1"/>
  <c r="B5" i="2"/>
  <c r="D5" i="2" s="1"/>
  <c r="D12" i="2" s="1"/>
  <c r="A5" i="2"/>
  <c r="A4" i="2"/>
  <c r="A3" i="2"/>
  <c r="B2" i="2"/>
  <c r="A2" i="2"/>
  <c r="C13" i="1"/>
  <c r="B13" i="4" s="1"/>
  <c r="D13" i="4" s="1"/>
  <c r="C9" i="1"/>
  <c r="B9" i="4" s="1"/>
  <c r="D9" i="4" s="1"/>
  <c r="C4" i="1"/>
  <c r="B4" i="2" s="1"/>
  <c r="D4" i="2" s="1"/>
  <c r="C3" i="1"/>
  <c r="B3" i="2" s="1"/>
  <c r="D3" i="2" s="1"/>
  <c r="D12" i="3" l="1"/>
  <c r="D18" i="2"/>
  <c r="D12" i="4"/>
  <c r="D18" i="4" s="1"/>
  <c r="C44" i="6"/>
  <c r="B39" i="2"/>
  <c r="H15" i="7"/>
  <c r="D43" i="7"/>
  <c r="H28" i="7"/>
  <c r="H20" i="7" s="1"/>
  <c r="F102" i="7"/>
  <c r="B39" i="3"/>
  <c r="C42" i="6"/>
  <c r="D65" i="7"/>
  <c r="H50" i="7"/>
  <c r="F48" i="4"/>
  <c r="F43" i="4"/>
  <c r="B4" i="5"/>
  <c r="D4" i="5" s="1"/>
  <c r="B51" i="7"/>
  <c r="B35" i="2"/>
  <c r="B3" i="3"/>
  <c r="D3" i="3" s="1"/>
  <c r="C55" i="4"/>
  <c r="B71" i="7"/>
  <c r="B9" i="3"/>
  <c r="D9" i="3" s="1"/>
  <c r="C35" i="4"/>
  <c r="C52" i="4" s="1"/>
  <c r="B9" i="6"/>
  <c r="D9" i="6" s="1"/>
  <c r="D12" i="6" s="1"/>
  <c r="B13" i="6"/>
  <c r="D13" i="6" s="1"/>
  <c r="F18" i="7"/>
  <c r="D99" i="7" s="1"/>
  <c r="B49" i="7"/>
  <c r="B4" i="3"/>
  <c r="D4" i="3" s="1"/>
  <c r="B9" i="7"/>
  <c r="H9" i="7" s="1"/>
  <c r="H12" i="7" s="1"/>
  <c r="F43" i="3"/>
  <c r="B4" i="4"/>
  <c r="D4" i="4" s="1"/>
  <c r="B30" i="7"/>
  <c r="B13" i="3"/>
  <c r="D13" i="3" s="1"/>
  <c r="C55" i="3"/>
  <c r="B13" i="7"/>
  <c r="H13" i="7" s="1"/>
  <c r="B9" i="5"/>
  <c r="D9" i="5" s="1"/>
  <c r="D12" i="5" s="1"/>
  <c r="B4" i="6"/>
  <c r="D4" i="6" s="1"/>
  <c r="B4" i="7"/>
  <c r="C53" i="4" l="1"/>
  <c r="D26" i="4"/>
  <c r="F44" i="4"/>
  <c r="F45" i="4" s="1"/>
  <c r="F46" i="4" s="1"/>
  <c r="D18" i="5"/>
  <c r="D18" i="6"/>
  <c r="D26" i="6" s="1"/>
  <c r="B42" i="2"/>
  <c r="B43" i="2" s="1"/>
  <c r="B44" i="2" s="1"/>
  <c r="B40" i="2"/>
  <c r="C56" i="2" s="1"/>
  <c r="D18" i="3"/>
  <c r="B42" i="3"/>
  <c r="B40" i="3"/>
  <c r="C56" i="3" s="1"/>
  <c r="B39" i="4"/>
  <c r="E18" i="7"/>
  <c r="D73" i="7" s="1"/>
  <c r="C53" i="2"/>
  <c r="F44" i="2"/>
  <c r="F45" i="2" s="1"/>
  <c r="F46" i="2" s="1"/>
  <c r="D26" i="2"/>
  <c r="H4" i="7"/>
  <c r="H18" i="7" s="1"/>
  <c r="H22" i="7" s="1"/>
  <c r="D18" i="7"/>
  <c r="D54" i="7" s="1"/>
  <c r="C18" i="7"/>
  <c r="D32" i="7" s="1"/>
  <c r="C58" i="3" l="1"/>
  <c r="E58" i="3" s="1"/>
  <c r="C58" i="2"/>
  <c r="E58" i="2" s="1"/>
  <c r="C57" i="2"/>
  <c r="B47" i="2"/>
  <c r="B45" i="2"/>
  <c r="B46" i="2"/>
  <c r="B40" i="5"/>
  <c r="D26" i="5"/>
  <c r="B43" i="3"/>
  <c r="B44" i="3" s="1"/>
  <c r="D26" i="3"/>
  <c r="C53" i="3"/>
  <c r="C57" i="3" s="1"/>
  <c r="F44" i="3"/>
  <c r="F45" i="3" s="1"/>
  <c r="F46" i="3" s="1"/>
  <c r="C46" i="6"/>
  <c r="E46" i="6" s="1"/>
  <c r="C45" i="6"/>
  <c r="B42" i="4"/>
  <c r="B43" i="4" s="1"/>
  <c r="B44" i="4" s="1"/>
  <c r="B40" i="4"/>
  <c r="C56" i="4" s="1"/>
  <c r="C58" i="4" l="1"/>
  <c r="E58" i="4" s="1"/>
  <c r="C57" i="4"/>
  <c r="B45" i="3"/>
  <c r="B47" i="3"/>
  <c r="B46" i="3"/>
  <c r="B46" i="4"/>
  <c r="B47" i="4"/>
  <c r="B45" i="4"/>
</calcChain>
</file>

<file path=xl/sharedStrings.xml><?xml version="1.0" encoding="utf-8"?>
<sst xmlns="http://schemas.openxmlformats.org/spreadsheetml/2006/main" count="468" uniqueCount="170">
  <si>
    <t>FIXED SPENDINGS</t>
  </si>
  <si>
    <t>Category</t>
  </si>
  <si>
    <t>Element</t>
  </si>
  <si>
    <t>Yearly Amount</t>
  </si>
  <si>
    <t>Comments</t>
  </si>
  <si>
    <t>Infrastructure</t>
  </si>
  <si>
    <t>Space rental</t>
  </si>
  <si>
    <t>Vehicle rental</t>
  </si>
  <si>
    <t>Manpower</t>
  </si>
  <si>
    <t>Administrative person</t>
  </si>
  <si>
    <t>Specialist engineer</t>
  </si>
  <si>
    <t>Senior repair person</t>
  </si>
  <si>
    <t>Junior repair person</t>
  </si>
  <si>
    <t>Benevolent repair person</t>
  </si>
  <si>
    <t>Coach/animator</t>
  </si>
  <si>
    <t>Communication manager</t>
  </si>
  <si>
    <t>Overheads</t>
  </si>
  <si>
    <t>Overhead cost on personnel</t>
  </si>
  <si>
    <t>Charges</t>
  </si>
  <si>
    <t>Energy (heating, elec…)</t>
  </si>
  <si>
    <t>Administration</t>
  </si>
  <si>
    <t>Communication (Internet, email…)</t>
  </si>
  <si>
    <t>Communication material</t>
  </si>
  <si>
    <t xml:space="preserve">Charges </t>
  </si>
  <si>
    <t>Tools</t>
  </si>
  <si>
    <t>annual amount (renewal, replacement...)</t>
  </si>
  <si>
    <t>VARIABLE SPENDINGS</t>
  </si>
  <si>
    <t>Relative Amount</t>
  </si>
  <si>
    <t>Spare parts</t>
  </si>
  <si>
    <t>Cost of spareparts as part of end-price of repair</t>
  </si>
  <si>
    <t>Consumables</t>
  </si>
  <si>
    <t>Cost of consumables as part of end-price of repair</t>
  </si>
  <si>
    <t>TAXES</t>
  </si>
  <si>
    <t>VAT</t>
  </si>
  <si>
    <t>local VAT ratio</t>
  </si>
  <si>
    <t>NEEDED "ASPECTS"</t>
  </si>
  <si>
    <t>QUANTITY</t>
  </si>
  <si>
    <t>TOTAL Amount</t>
  </si>
  <si>
    <t>TOTAL</t>
  </si>
  <si>
    <t>Available repair manpower</t>
  </si>
  <si>
    <t>Active time (fraction of time devoted to repair vs other tasks)</t>
  </si>
  <si>
    <t>--&gt; KPI</t>
  </si>
  <si>
    <t>per minute of repair (w/o spareparts)</t>
  </si>
  <si>
    <t>minutes</t>
  </si>
  <si>
    <t>(based on 220 days of work per year, 38h per week)</t>
  </si>
  <si>
    <t>Data from RepairStudio</t>
  </si>
  <si>
    <t>fraction</t>
  </si>
  <si>
    <t>time spent (min)</t>
  </si>
  <si>
    <t>fixed by cleaning</t>
  </si>
  <si>
    <t>fixed with sparepart replacement</t>
  </si>
  <si>
    <t>fixed without sparepart</t>
  </si>
  <si>
    <t>unfixed: lack of spareparts</t>
  </si>
  <si>
    <t>unfixed: too old or impossible to open</t>
  </si>
  <si>
    <t>TOTAL/AVERAGE</t>
  </si>
  <si>
    <t>Time-based approach</t>
  </si>
  <si>
    <t>Price-based approach</t>
  </si>
  <si>
    <t># of handled objects</t>
  </si>
  <si>
    <t>Average price of objects to be fixed</t>
  </si>
  <si>
    <t>incl. VAT</t>
  </si>
  <si>
    <r>
      <rPr>
        <sz val="12"/>
        <color theme="1"/>
        <rFont val="Calibri"/>
      </rPr>
      <t xml:space="preserve"># of </t>
    </r>
    <r>
      <rPr>
        <b/>
        <sz val="12"/>
        <color theme="1"/>
        <rFont val="Calibri"/>
      </rPr>
      <t>fixed</t>
    </r>
    <r>
      <rPr>
        <sz val="12"/>
        <color theme="1"/>
        <rFont val="Calibri"/>
      </rPr>
      <t xml:space="preserve"> objects</t>
    </r>
  </si>
  <si>
    <t>Admissibile price per fixed object</t>
  </si>
  <si>
    <t>of price of new</t>
  </si>
  <si>
    <t>Fee for  diagnostic only</t>
  </si>
  <si>
    <r>
      <rPr>
        <b/>
        <sz val="12"/>
        <color theme="1"/>
        <rFont val="Calibri"/>
      </rPr>
      <t xml:space="preserve">incl. VAT </t>
    </r>
    <r>
      <rPr>
        <sz val="12"/>
        <color theme="1"/>
        <rFont val="Calibri"/>
      </rPr>
      <t>per object</t>
    </r>
  </si>
  <si>
    <t>&lt;- coherence ?</t>
  </si>
  <si>
    <r>
      <rPr>
        <sz val="12"/>
        <color theme="1"/>
        <rFont val="Calibri"/>
      </rPr>
      <t xml:space="preserve">Earning per </t>
    </r>
    <r>
      <rPr>
        <b/>
        <sz val="12"/>
        <color theme="1"/>
        <rFont val="Calibri"/>
      </rPr>
      <t>fixed</t>
    </r>
    <r>
      <rPr>
        <sz val="12"/>
        <color theme="1"/>
        <rFont val="Calibri"/>
      </rPr>
      <t xml:space="preserve"> object</t>
    </r>
  </si>
  <si>
    <t>Amount gained on diagnostics</t>
  </si>
  <si>
    <t>VAT excl.</t>
  </si>
  <si>
    <t>coherence ? -&gt;</t>
  </si>
  <si>
    <t>Admissibile price for diagnostic only</t>
  </si>
  <si>
    <r>
      <rPr>
        <sz val="12"/>
        <color theme="1"/>
        <rFont val="Calibri"/>
      </rPr>
      <t xml:space="preserve">Amount to be gained on </t>
    </r>
    <r>
      <rPr>
        <b/>
        <sz val="12"/>
        <color theme="1"/>
        <rFont val="Calibri"/>
      </rPr>
      <t>fixing</t>
    </r>
  </si>
  <si>
    <t>Average earning per object (fixed or not)</t>
  </si>
  <si>
    <t>Breakeven price on fixed objects</t>
  </si>
  <si>
    <t>VAT excl. per object</t>
  </si>
  <si>
    <t>Number of objects to be handled</t>
  </si>
  <si>
    <r>
      <rPr>
        <b/>
        <sz val="12"/>
        <color theme="1"/>
        <rFont val="Calibri"/>
      </rPr>
      <t>incl. VAT</t>
    </r>
    <r>
      <rPr>
        <sz val="12"/>
        <color theme="1"/>
        <rFont val="Calibri"/>
      </rPr>
      <t xml:space="preserve"> per object</t>
    </r>
  </si>
  <si>
    <t>Number of objects to fix</t>
  </si>
  <si>
    <t>Average cost of spareparts</t>
  </si>
  <si>
    <t xml:space="preserve">VAT excl. </t>
  </si>
  <si>
    <t>Minutes to fix an object</t>
  </si>
  <si>
    <t>Average cost of consumables</t>
  </si>
  <si>
    <t>LEARNING: the gap between time spent by the repair team and willigness to pay by customers</t>
  </si>
  <si>
    <t>Considering timings from the repair Studio</t>
  </si>
  <si>
    <t>minutes in average per object (fixed or not)</t>
  </si>
  <si>
    <t>Considering the size of the team above for a cost of</t>
  </si>
  <si>
    <t>Considering that customer agree to pay</t>
  </si>
  <si>
    <r>
      <rPr>
        <b/>
        <sz val="12"/>
        <color theme="1"/>
        <rFont val="Calibri"/>
      </rPr>
      <t>incl. VAT</t>
    </r>
    <r>
      <rPr>
        <sz val="12"/>
        <color theme="1"/>
        <rFont val="Calibri"/>
      </rPr>
      <t xml:space="preserve"> per diagnosed object</t>
    </r>
  </si>
  <si>
    <r>
      <rPr>
        <b/>
        <sz val="12"/>
        <color theme="1"/>
        <rFont val="Calibri"/>
      </rPr>
      <t>incl. VAT</t>
    </r>
    <r>
      <rPr>
        <sz val="12"/>
        <color theme="1"/>
        <rFont val="Calibri"/>
      </rPr>
      <t xml:space="preserve"> per fixed object</t>
    </r>
  </si>
  <si>
    <t>Earnings are then equal to</t>
  </si>
  <si>
    <r>
      <rPr>
        <sz val="12"/>
        <color theme="1"/>
        <rFont val="Calibri"/>
      </rPr>
      <t xml:space="preserve">Leaving a </t>
    </r>
    <r>
      <rPr>
        <b/>
        <sz val="12"/>
        <color rgb="FF38761D"/>
        <rFont val="Calibri"/>
      </rPr>
      <t>profit</t>
    </r>
    <r>
      <rPr>
        <sz val="12"/>
        <color theme="1"/>
        <rFont val="Calibri"/>
      </rPr>
      <t xml:space="preserve"> of</t>
    </r>
  </si>
  <si>
    <r>
      <rPr>
        <sz val="12"/>
        <color theme="1"/>
        <rFont val="Calibri"/>
      </rPr>
      <t xml:space="preserve">Leaving a </t>
    </r>
    <r>
      <rPr>
        <b/>
        <sz val="12"/>
        <color rgb="FFFF0000"/>
        <rFont val="Calibri"/>
      </rPr>
      <t>deficit</t>
    </r>
    <r>
      <rPr>
        <sz val="12"/>
        <color theme="1"/>
        <rFont val="Calibri"/>
      </rPr>
      <t xml:space="preserve"> of</t>
    </r>
  </si>
  <si>
    <t>Investment instead ? Then, lower drastically the amount</t>
  </si>
  <si>
    <r>
      <rPr>
        <sz val="12"/>
        <color theme="1"/>
        <rFont val="Calibri"/>
      </rPr>
      <t xml:space="preserve">Active time (fraction of time devoted to repair vs other tasks and </t>
    </r>
    <r>
      <rPr>
        <sz val="12"/>
        <color rgb="FFFF0000"/>
        <rFont val="Calibri"/>
      </rPr>
      <t>vs MOVING from place to place</t>
    </r>
    <r>
      <rPr>
        <sz val="12"/>
        <color theme="1"/>
        <rFont val="Calibri"/>
      </rPr>
      <t>)</t>
    </r>
  </si>
  <si>
    <t>(B2C marketing requires more effort than B2B)</t>
  </si>
  <si>
    <t>Active time (fraction of time devote to repair vs other tasks)</t>
  </si>
  <si>
    <t>"Escape games" approach</t>
  </si>
  <si>
    <t>SCHOOLS</t>
  </si>
  <si>
    <t>PRIVATE VISITORS</t>
  </si>
  <si>
    <t>Number of rooms</t>
  </si>
  <si>
    <t># open days during the week</t>
  </si>
  <si>
    <t># open nights during the week</t>
  </si>
  <si>
    <t>typically Thursday and Friday</t>
  </si>
  <si>
    <t># school session per weekday</t>
  </si>
  <si>
    <t># of night sessions</t>
  </si>
  <si>
    <t>(7 pm and 9pm)</t>
  </si>
  <si>
    <t>price per class</t>
  </si>
  <si>
    <t># sessions during the week-end</t>
  </si>
  <si>
    <t>(4 each day, Saturday + Sunday)</t>
  </si>
  <si>
    <t>fill in rate during the week</t>
  </si>
  <si>
    <t>price per session</t>
  </si>
  <si>
    <t>(minimum, more if more participants)</t>
  </si>
  <si>
    <t>Earnings per week</t>
  </si>
  <si>
    <t>fill in rate nights &amp; WE</t>
  </si>
  <si>
    <t>Total weekly earnings</t>
  </si>
  <si>
    <t>For breakeven, the center needs to open</t>
  </si>
  <si>
    <t>weeks per year</t>
  </si>
  <si>
    <t>Workshop - quantity approach</t>
  </si>
  <si>
    <t>PROFESSIONAL TRAINING (corporate)</t>
  </si>
  <si>
    <t>FREELANCERS TRAINING</t>
  </si>
  <si>
    <t>CITIZENS TRAINING</t>
  </si>
  <si>
    <t>Number of participants per workshop</t>
  </si>
  <si>
    <r>
      <rPr>
        <sz val="12"/>
        <color theme="1"/>
        <rFont val="Calibri"/>
      </rPr>
      <t>Price per participant (</t>
    </r>
    <r>
      <rPr>
        <b/>
        <sz val="12"/>
        <color theme="1"/>
        <rFont val="Calibri"/>
      </rPr>
      <t>VAT excl.</t>
    </r>
    <r>
      <rPr>
        <sz val="12"/>
        <color theme="1"/>
        <rFont val="Calibri"/>
      </rPr>
      <t>)</t>
    </r>
  </si>
  <si>
    <r>
      <rPr>
        <sz val="12"/>
        <color theme="1"/>
        <rFont val="Calibri"/>
      </rPr>
      <t>Price per participant (</t>
    </r>
    <r>
      <rPr>
        <b/>
        <sz val="12"/>
        <color theme="1"/>
        <rFont val="Calibri"/>
      </rPr>
      <t>VAT incl.</t>
    </r>
    <r>
      <rPr>
        <sz val="12"/>
        <color theme="1"/>
        <rFont val="Calibri"/>
      </rPr>
      <t>)</t>
    </r>
  </si>
  <si>
    <t># of workshops per week</t>
  </si>
  <si>
    <t>Weekly earnings</t>
  </si>
  <si>
    <t># of weeks per year</t>
  </si>
  <si>
    <t>Yearly earnings</t>
  </si>
  <si>
    <t>Total # of attendants over the year</t>
  </si>
  <si>
    <t>Workshop duration (hours)</t>
  </si>
  <si>
    <t>Total of training hours (for team)</t>
  </si>
  <si>
    <t>Total training time</t>
  </si>
  <si>
    <t>Quantities</t>
  </si>
  <si>
    <t>REPAIR</t>
  </si>
  <si>
    <t>MOBILE</t>
  </si>
  <si>
    <t>FUN CENTER</t>
  </si>
  <si>
    <t>TRAINING CENTER</t>
  </si>
  <si>
    <t>Double space: 1 for repair (and mobile spare parts), 1 for fun, education &amp; training</t>
  </si>
  <si>
    <t>TOTAL COSTS</t>
  </si>
  <si>
    <t>TOTAL EARNINGS</t>
  </si>
  <si>
    <t>RESULT</t>
  </si>
  <si>
    <t>REPAIR SERVICE</t>
  </si>
  <si>
    <t>Available time</t>
  </si>
  <si>
    <t>Earnings</t>
  </si>
  <si>
    <t>Diagnostics :</t>
  </si>
  <si>
    <t xml:space="preserve">Fixed Objects : </t>
  </si>
  <si>
    <t>Capacity to handle</t>
  </si>
  <si>
    <t>objects</t>
  </si>
  <si>
    <r>
      <rPr>
        <sz val="12"/>
        <color theme="1"/>
        <rFont val="Calibri"/>
      </rPr>
      <t xml:space="preserve">Capacity to </t>
    </r>
    <r>
      <rPr>
        <b/>
        <sz val="12"/>
        <color theme="1"/>
        <rFont val="Calibri"/>
      </rPr>
      <t>fix</t>
    </r>
  </si>
  <si>
    <t>Total number of diagnosed objects over the year :</t>
  </si>
  <si>
    <t>Fraction of which are actually fixed :</t>
  </si>
  <si>
    <t>MOBILE REPAIR SERVICE</t>
  </si>
  <si>
    <t>FUN AND EDUCATION CENTER</t>
  </si>
  <si>
    <t>Escape Games</t>
  </si>
  <si>
    <t>Active time (fraction of time devoted to animation vs other tasks)</t>
  </si>
  <si>
    <t>School Sessions</t>
  </si>
  <si>
    <t>Capacity for one-hour escape games</t>
  </si>
  <si>
    <t>Actual use as per below</t>
  </si>
  <si>
    <t>Capacity for 2.5 hours school sessions</t>
  </si>
  <si>
    <t xml:space="preserve">minutes = </t>
  </si>
  <si>
    <t># of weeks of opening over the year</t>
  </si>
  <si>
    <t># of class sessions over the year</t>
  </si>
  <si>
    <t># of game sessions over the year</t>
  </si>
  <si>
    <t>Pro</t>
  </si>
  <si>
    <t>Freelances</t>
  </si>
  <si>
    <t>Citizens</t>
  </si>
  <si>
    <t>Active time (fraction of time devoted to training vs other tasks)</t>
  </si>
  <si>
    <t>Capacity for 3.5h training sessions</t>
  </si>
  <si>
    <t>PROFESSIONALS</t>
  </si>
  <si>
    <t>FREELANCERS</t>
  </si>
  <si>
    <t>CITIZENS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</si>
</sst>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&quot;€&quot;"/>
    <numFmt numFmtId="165" formatCode="_-* #,##0\ &quot;€&quot;_-;\-* #,##0\ &quot;€&quot;_-;_-* &quot;-&quot;??\ &quot;€&quot;_-;_-@"/>
    <numFmt numFmtId="166" formatCode="_(* #,##0.00_)\ [$€-1]_);\(#,##0.00\)\ [$€-1]_);_(* &quot;-&quot;??_)\ [$€-1]_);_(@"/>
    <numFmt numFmtId="167" formatCode="#,##0\ [$€-1]"/>
    <numFmt numFmtId="168" formatCode="0.0"/>
  </numFmts>
  <fonts count="14" x14ac:knownFonts="1">
    <font>
      <sz val="12"/>
      <color theme="1"/>
      <name val="Calibri"/>
      <scheme val="minor"/>
    </font>
    <font>
      <b/>
      <sz val="12"/>
      <color theme="1"/>
      <name val="Calibri"/>
    </font>
    <font>
      <sz val="12"/>
      <color theme="1"/>
      <name val="Calibri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b/>
      <sz val="12"/>
      <color theme="0"/>
      <name val="Calibri"/>
      <scheme val="minor"/>
    </font>
    <font>
      <b/>
      <sz val="12"/>
      <color rgb="FFFFFFFF"/>
      <name val="Calibri"/>
      <scheme val="minor"/>
    </font>
    <font>
      <b/>
      <u/>
      <sz val="12"/>
      <color theme="1"/>
      <name val="Calibri"/>
      <scheme val="minor"/>
    </font>
    <font>
      <u/>
      <sz val="12"/>
      <color theme="1"/>
      <name val="Calibri"/>
    </font>
    <font>
      <sz val="12"/>
      <color rgb="FF38761D"/>
      <name val="Calibri"/>
      <scheme val="minor"/>
    </font>
    <font>
      <sz val="11"/>
      <color rgb="FFFF0000"/>
      <name val="Inconsolata"/>
    </font>
    <font>
      <b/>
      <sz val="12"/>
      <color rgb="FF38761D"/>
      <name val="Calibri"/>
    </font>
    <font>
      <b/>
      <sz val="12"/>
      <color rgb="FFFF0000"/>
      <name val="Calibri"/>
    </font>
    <font>
      <sz val="12"/>
      <color rgb="FFFF000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C5E0B3"/>
        <bgColor rgb="FFC5E0B3"/>
      </patternFill>
    </fill>
    <fill>
      <patternFill patternType="solid">
        <fgColor rgb="FFB6D7A8"/>
        <bgColor rgb="FFB6D7A8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6"/>
        <bgColor theme="6"/>
      </patternFill>
    </fill>
    <fill>
      <patternFill patternType="solid">
        <fgColor rgb="FF00FFFF"/>
        <bgColor rgb="FF00FFFF"/>
      </patternFill>
    </fill>
    <fill>
      <patternFill patternType="solid">
        <fgColor rgb="FF999999"/>
        <bgColor rgb="FF999999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164" fontId="2" fillId="0" borderId="0" xfId="0" applyNumberFormat="1" applyFont="1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3" fillId="4" borderId="0" xfId="0" applyFont="1" applyFill="1"/>
    <xf numFmtId="164" fontId="2" fillId="3" borderId="0" xfId="0" applyNumberFormat="1" applyFont="1" applyFill="1"/>
    <xf numFmtId="164" fontId="2" fillId="5" borderId="0" xfId="0" applyNumberFormat="1" applyFont="1" applyFill="1"/>
    <xf numFmtId="9" fontId="2" fillId="5" borderId="0" xfId="0" applyNumberFormat="1" applyFont="1" applyFill="1"/>
    <xf numFmtId="0" fontId="4" fillId="2" borderId="0" xfId="0" applyFont="1" applyFill="1"/>
    <xf numFmtId="9" fontId="2" fillId="3" borderId="0" xfId="0" applyNumberFormat="1" applyFont="1" applyFill="1"/>
    <xf numFmtId="165" fontId="2" fillId="0" borderId="0" xfId="0" applyNumberFormat="1" applyFont="1"/>
    <xf numFmtId="9" fontId="2" fillId="0" borderId="0" xfId="0" applyNumberFormat="1" applyFont="1"/>
    <xf numFmtId="0" fontId="1" fillId="0" borderId="1" xfId="0" applyFont="1" applyBorder="1"/>
    <xf numFmtId="165" fontId="1" fillId="0" borderId="2" xfId="0" applyNumberFormat="1" applyFont="1" applyBorder="1"/>
    <xf numFmtId="9" fontId="2" fillId="7" borderId="0" xfId="0" applyNumberFormat="1" applyFont="1" applyFill="1"/>
    <xf numFmtId="0" fontId="2" fillId="0" borderId="0" xfId="0" applyFont="1"/>
    <xf numFmtId="0" fontId="1" fillId="0" borderId="2" xfId="0" applyFont="1" applyBorder="1"/>
    <xf numFmtId="0" fontId="5" fillId="8" borderId="0" xfId="0" applyFont="1" applyFill="1" applyAlignment="1">
      <alignment horizontal="right"/>
    </xf>
    <xf numFmtId="166" fontId="5" fillId="8" borderId="0" xfId="0" applyNumberFormat="1" applyFont="1" applyFill="1"/>
    <xf numFmtId="0" fontId="6" fillId="8" borderId="0" xfId="0" applyFont="1" applyFill="1"/>
    <xf numFmtId="4" fontId="3" fillId="4" borderId="0" xfId="0" applyNumberFormat="1" applyFont="1" applyFill="1"/>
    <xf numFmtId="0" fontId="4" fillId="0" borderId="0" xfId="0" applyFont="1"/>
    <xf numFmtId="0" fontId="7" fillId="0" borderId="3" xfId="0" applyFont="1" applyBorder="1"/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/>
    <xf numFmtId="10" fontId="3" fillId="0" borderId="0" xfId="0" applyNumberFormat="1" applyFont="1"/>
    <xf numFmtId="0" fontId="3" fillId="0" borderId="7" xfId="0" applyFont="1" applyBorder="1"/>
    <xf numFmtId="0" fontId="3" fillId="0" borderId="8" xfId="0" applyFont="1" applyBorder="1"/>
    <xf numFmtId="10" fontId="3" fillId="0" borderId="9" xfId="0" applyNumberFormat="1" applyFont="1" applyBorder="1"/>
    <xf numFmtId="0" fontId="3" fillId="0" borderId="10" xfId="0" applyFont="1" applyBorder="1"/>
    <xf numFmtId="0" fontId="8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right"/>
    </xf>
    <xf numFmtId="1" fontId="2" fillId="4" borderId="0" xfId="0" applyNumberFormat="1" applyFont="1" applyFill="1" applyAlignment="1">
      <alignment horizontal="right"/>
    </xf>
    <xf numFmtId="0" fontId="2" fillId="0" borderId="7" xfId="0" applyFont="1" applyBorder="1"/>
    <xf numFmtId="165" fontId="2" fillId="6" borderId="0" xfId="0" applyNumberFormat="1" applyFont="1" applyFill="1" applyAlignment="1">
      <alignment horizontal="right"/>
    </xf>
    <xf numFmtId="0" fontId="1" fillId="0" borderId="7" xfId="0" applyFont="1" applyBorder="1"/>
    <xf numFmtId="1" fontId="2" fillId="0" borderId="0" xfId="0" applyNumberFormat="1" applyFont="1" applyAlignment="1">
      <alignment horizontal="right"/>
    </xf>
    <xf numFmtId="9" fontId="2" fillId="6" borderId="0" xfId="0" applyNumberFormat="1" applyFont="1" applyFill="1" applyAlignment="1">
      <alignment horizontal="right"/>
    </xf>
    <xf numFmtId="165" fontId="2" fillId="6" borderId="0" xfId="0" applyNumberFormat="1" applyFont="1" applyFill="1"/>
    <xf numFmtId="0" fontId="3" fillId="2" borderId="0" xfId="0" applyFont="1" applyFill="1"/>
    <xf numFmtId="165" fontId="2" fillId="4" borderId="0" xfId="0" applyNumberFormat="1" applyFont="1" applyFill="1"/>
    <xf numFmtId="0" fontId="3" fillId="2" borderId="0" xfId="0" applyFont="1" applyFill="1" applyAlignment="1">
      <alignment horizontal="right"/>
    </xf>
    <xf numFmtId="167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left"/>
    </xf>
    <xf numFmtId="9" fontId="3" fillId="0" borderId="0" xfId="0" applyNumberFormat="1" applyFont="1"/>
    <xf numFmtId="1" fontId="2" fillId="0" borderId="0" xfId="0" applyNumberFormat="1" applyFont="1"/>
    <xf numFmtId="0" fontId="2" fillId="0" borderId="8" xfId="0" applyFont="1" applyBorder="1" applyAlignment="1">
      <alignment horizontal="right"/>
    </xf>
    <xf numFmtId="165" fontId="2" fillId="0" borderId="9" xfId="0" applyNumberFormat="1" applyFont="1" applyBorder="1" applyAlignment="1">
      <alignment horizontal="left"/>
    </xf>
    <xf numFmtId="0" fontId="2" fillId="0" borderId="10" xfId="0" applyFont="1" applyBorder="1"/>
    <xf numFmtId="9" fontId="3" fillId="4" borderId="0" xfId="0" applyNumberFormat="1" applyFont="1" applyFill="1"/>
    <xf numFmtId="165" fontId="3" fillId="0" borderId="0" xfId="0" applyNumberFormat="1" applyFont="1"/>
    <xf numFmtId="167" fontId="3" fillId="0" borderId="0" xfId="0" applyNumberFormat="1" applyFont="1"/>
    <xf numFmtId="167" fontId="9" fillId="0" borderId="0" xfId="0" applyNumberFormat="1" applyFont="1"/>
    <xf numFmtId="167" fontId="10" fillId="9" borderId="0" xfId="0" applyNumberFormat="1" applyFont="1" applyFill="1"/>
    <xf numFmtId="0" fontId="3" fillId="9" borderId="0" xfId="0" applyFont="1" applyFill="1"/>
    <xf numFmtId="165" fontId="2" fillId="2" borderId="0" xfId="0" applyNumberFormat="1" applyFont="1" applyFill="1"/>
    <xf numFmtId="0" fontId="1" fillId="0" borderId="0" xfId="0" applyFont="1" applyAlignment="1">
      <alignment horizontal="right"/>
    </xf>
    <xf numFmtId="0" fontId="2" fillId="4" borderId="0" xfId="0" applyFont="1" applyFill="1"/>
    <xf numFmtId="0" fontId="2" fillId="0" borderId="0" xfId="0" applyFont="1" applyAlignment="1">
      <alignment horizontal="right"/>
    </xf>
    <xf numFmtId="0" fontId="2" fillId="6" borderId="0" xfId="0" applyFont="1" applyFill="1"/>
    <xf numFmtId="9" fontId="2" fillId="6" borderId="0" xfId="0" applyNumberFormat="1" applyFont="1" applyFill="1"/>
    <xf numFmtId="165" fontId="1" fillId="4" borderId="0" xfId="0" applyNumberFormat="1" applyFont="1" applyFill="1"/>
    <xf numFmtId="165" fontId="4" fillId="0" borderId="0" xfId="0" applyNumberFormat="1" applyFont="1"/>
    <xf numFmtId="1" fontId="3" fillId="0" borderId="0" xfId="0" applyNumberFormat="1" applyFont="1"/>
    <xf numFmtId="168" fontId="2" fillId="6" borderId="0" xfId="0" applyNumberFormat="1" applyFont="1" applyFill="1"/>
    <xf numFmtId="167" fontId="2" fillId="0" borderId="0" xfId="0" applyNumberFormat="1" applyFont="1"/>
    <xf numFmtId="0" fontId="3" fillId="0" borderId="0" xfId="0" applyFont="1" applyAlignment="1">
      <alignment horizontal="right"/>
    </xf>
    <xf numFmtId="0" fontId="3" fillId="6" borderId="0" xfId="0" applyFont="1" applyFill="1"/>
    <xf numFmtId="0" fontId="3" fillId="4" borderId="0" xfId="0" applyFont="1" applyFill="1" applyAlignment="1">
      <alignment horizontal="right"/>
    </xf>
    <xf numFmtId="0" fontId="4" fillId="4" borderId="0" xfId="0" applyFont="1" applyFill="1"/>
    <xf numFmtId="10" fontId="3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4" borderId="0" xfId="0" applyFont="1" applyFill="1" applyAlignment="1">
      <alignment horizontal="right"/>
    </xf>
    <xf numFmtId="0" fontId="1" fillId="6" borderId="0" xfId="0" applyFont="1" applyFill="1"/>
    <xf numFmtId="0" fontId="1" fillId="4" borderId="0" xfId="0" applyFont="1" applyFill="1"/>
    <xf numFmtId="0" fontId="1" fillId="4" borderId="11" xfId="0" applyFont="1" applyFill="1" applyBorder="1"/>
    <xf numFmtId="167" fontId="1" fillId="0" borderId="0" xfId="0" applyNumberFormat="1" applyFont="1"/>
    <xf numFmtId="165" fontId="1" fillId="0" borderId="0" xfId="0" applyNumberFormat="1" applyFont="1"/>
    <xf numFmtId="167" fontId="4" fillId="0" borderId="0" xfId="0" applyNumberFormat="1" applyFont="1"/>
    <xf numFmtId="0" fontId="3" fillId="10" borderId="0" xfId="0" applyFont="1" applyFill="1"/>
    <xf numFmtId="0" fontId="4" fillId="11" borderId="0" xfId="0" applyFont="1" applyFill="1"/>
    <xf numFmtId="0" fontId="3" fillId="3" borderId="0" xfId="0" applyFont="1" applyFill="1"/>
    <xf numFmtId="9" fontId="3" fillId="3" borderId="0" xfId="0" applyNumberFormat="1" applyFont="1" applyFill="1" applyAlignment="1">
      <alignment horizontal="left"/>
    </xf>
    <xf numFmtId="3" fontId="1" fillId="4" borderId="0" xfId="0" applyNumberFormat="1" applyFont="1" applyFill="1"/>
    <xf numFmtId="1" fontId="4" fillId="0" borderId="0" xfId="0" applyNumberFormat="1" applyFont="1"/>
    <xf numFmtId="0" fontId="2" fillId="6" borderId="0" xfId="0" applyFont="1" applyFill="1" applyAlignment="1">
      <alignment horizontal="right"/>
    </xf>
    <xf numFmtId="167" fontId="2" fillId="6" borderId="0" xfId="0" applyNumberFormat="1" applyFont="1" applyFill="1"/>
    <xf numFmtId="167" fontId="2" fillId="6" borderId="0" xfId="0" applyNumberFormat="1" applyFont="1" applyFill="1" applyAlignment="1">
      <alignment horizontal="right"/>
    </xf>
    <xf numFmtId="0" fontId="3" fillId="12" borderId="0" xfId="0" applyFont="1" applyFill="1"/>
    <xf numFmtId="0" fontId="1" fillId="2" borderId="11" xfId="0" applyFont="1" applyFill="1" applyBorder="1"/>
    <xf numFmtId="164" fontId="2" fillId="3" borderId="11" xfId="0" applyNumberFormat="1" applyFont="1" applyFill="1" applyBorder="1"/>
    <xf numFmtId="9" fontId="2" fillId="3" borderId="11" xfId="0" applyNumberFormat="1" applyFont="1" applyFill="1" applyBorder="1"/>
    <xf numFmtId="0" fontId="1" fillId="6" borderId="11" xfId="0" applyFont="1" applyFill="1" applyBorder="1"/>
    <xf numFmtId="0" fontId="7" fillId="0" borderId="0" xfId="0" applyFont="1"/>
    <xf numFmtId="0" fontId="7" fillId="4" borderId="0" xfId="0" applyFont="1" applyFill="1"/>
    <xf numFmtId="0" fontId="8" fillId="0" borderId="0" xfId="0" applyFont="1"/>
    <xf numFmtId="0" fontId="1" fillId="4" borderId="11" xfId="0" applyFont="1" applyFill="1" applyBorder="1" applyAlignment="1">
      <alignment horizontal="right"/>
    </xf>
    <xf numFmtId="3" fontId="1" fillId="4" borderId="11" xfId="0" applyNumberFormat="1" applyFont="1" applyFill="1" applyBorder="1"/>
    <xf numFmtId="0" fontId="7" fillId="10" borderId="0" xfId="0" applyFont="1" applyFill="1"/>
    <xf numFmtId="0" fontId="4" fillId="3" borderId="0" xfId="0" applyFont="1" applyFill="1" applyAlignment="1">
      <alignment horizontal="center"/>
    </xf>
    <xf numFmtId="0" fontId="0" fillId="0" borderId="0" xfId="0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D1001"/>
  <sheetViews>
    <sheetView tabSelected="1" workbookViewId="0"/>
  </sheetViews>
  <sheetFormatPr defaultColWidth="11.25" defaultRowHeight="15" customHeight="1" x14ac:dyDescent="0.35"/>
  <cols>
    <col min="1" max="1" width="19.08203125" customWidth="1"/>
    <col min="2" max="2" width="29.58203125" customWidth="1"/>
    <col min="3" max="3" width="15" customWidth="1"/>
    <col min="4" max="4" width="40" customWidth="1"/>
    <col min="5" max="26" width="10.5" customWidth="1"/>
  </cols>
  <sheetData>
    <row r="1" spans="1:4" ht="15.75" customHeight="1" x14ac:dyDescent="0.35">
      <c r="A1" s="93" t="s">
        <v>0</v>
      </c>
      <c r="C1" s="1"/>
    </row>
    <row r="2" spans="1:4" ht="15.75" customHeight="1" x14ac:dyDescent="0.35">
      <c r="A2" s="2" t="s">
        <v>1</v>
      </c>
      <c r="B2" s="2" t="s">
        <v>2</v>
      </c>
      <c r="C2" s="3" t="s">
        <v>3</v>
      </c>
      <c r="D2" s="2" t="s">
        <v>4</v>
      </c>
    </row>
    <row r="3" spans="1:4" ht="15.75" customHeight="1" x14ac:dyDescent="0.35">
      <c r="A3" s="4" t="s">
        <v>5</v>
      </c>
      <c r="B3" s="4" t="s">
        <v>6</v>
      </c>
      <c r="C3" s="94">
        <f>12*2000</f>
        <v>24000</v>
      </c>
    </row>
    <row r="4" spans="1:4" ht="15.75" customHeight="1" x14ac:dyDescent="0.35">
      <c r="A4" s="4" t="s">
        <v>5</v>
      </c>
      <c r="B4" s="4" t="s">
        <v>7</v>
      </c>
      <c r="C4" s="94">
        <f>12*600</f>
        <v>7200</v>
      </c>
    </row>
    <row r="5" spans="1:4" ht="15.75" customHeight="1" x14ac:dyDescent="0.35">
      <c r="A5" s="4" t="s">
        <v>8</v>
      </c>
      <c r="B5" s="4" t="s">
        <v>9</v>
      </c>
      <c r="C5" s="94">
        <v>55000</v>
      </c>
    </row>
    <row r="6" spans="1:4" ht="15.75" customHeight="1" x14ac:dyDescent="0.35">
      <c r="A6" s="4" t="s">
        <v>8</v>
      </c>
      <c r="B6" s="4" t="s">
        <v>10</v>
      </c>
      <c r="C6" s="94">
        <v>75000</v>
      </c>
    </row>
    <row r="7" spans="1:4" ht="15.75" customHeight="1" x14ac:dyDescent="0.35">
      <c r="A7" s="4" t="s">
        <v>8</v>
      </c>
      <c r="B7" s="4" t="s">
        <v>11</v>
      </c>
      <c r="C7" s="94">
        <v>65000</v>
      </c>
    </row>
    <row r="8" spans="1:4" ht="15.75" customHeight="1" x14ac:dyDescent="0.35">
      <c r="A8" s="4" t="s">
        <v>8</v>
      </c>
      <c r="B8" s="4" t="s">
        <v>12</v>
      </c>
      <c r="C8" s="94">
        <v>48000</v>
      </c>
    </row>
    <row r="9" spans="1:4" ht="15.75" customHeight="1" x14ac:dyDescent="0.35">
      <c r="A9" s="4" t="s">
        <v>8</v>
      </c>
      <c r="B9" s="4" t="s">
        <v>13</v>
      </c>
      <c r="C9" s="94">
        <f>12*250</f>
        <v>3000</v>
      </c>
    </row>
    <row r="10" spans="1:4" ht="15.75" customHeight="1" x14ac:dyDescent="0.35">
      <c r="A10" s="4" t="s">
        <v>8</v>
      </c>
      <c r="B10" s="4" t="s">
        <v>14</v>
      </c>
      <c r="C10" s="94">
        <v>55000</v>
      </c>
    </row>
    <row r="11" spans="1:4" ht="15.75" customHeight="1" x14ac:dyDescent="0.35">
      <c r="A11" s="5" t="s">
        <v>8</v>
      </c>
      <c r="B11" s="5" t="s">
        <v>15</v>
      </c>
      <c r="C11" s="94">
        <v>60000</v>
      </c>
    </row>
    <row r="12" spans="1:4" ht="15.75" customHeight="1" x14ac:dyDescent="0.35">
      <c r="A12" s="5" t="s">
        <v>16</v>
      </c>
      <c r="B12" s="5" t="s">
        <v>17</v>
      </c>
      <c r="C12" s="95">
        <v>0.1</v>
      </c>
    </row>
    <row r="13" spans="1:4" ht="15.75" customHeight="1" x14ac:dyDescent="0.35">
      <c r="A13" s="5" t="s">
        <v>18</v>
      </c>
      <c r="B13" s="5" t="s">
        <v>19</v>
      </c>
      <c r="C13" s="94">
        <f>12*500</f>
        <v>6000</v>
      </c>
    </row>
    <row r="14" spans="1:4" ht="15.75" customHeight="1" x14ac:dyDescent="0.35">
      <c r="A14" s="5" t="s">
        <v>18</v>
      </c>
      <c r="B14" s="5" t="s">
        <v>20</v>
      </c>
      <c r="C14" s="94">
        <v>5000</v>
      </c>
    </row>
    <row r="15" spans="1:4" ht="15.75" customHeight="1" x14ac:dyDescent="0.35">
      <c r="A15" s="5" t="s">
        <v>18</v>
      </c>
      <c r="B15" s="5" t="s">
        <v>21</v>
      </c>
      <c r="C15" s="94">
        <v>1200</v>
      </c>
    </row>
    <row r="16" spans="1:4" ht="15.75" customHeight="1" x14ac:dyDescent="0.35">
      <c r="A16" s="5" t="s">
        <v>18</v>
      </c>
      <c r="B16" s="5" t="s">
        <v>22</v>
      </c>
      <c r="C16" s="6">
        <v>3000</v>
      </c>
    </row>
    <row r="17" spans="1:4" ht="15.75" customHeight="1" x14ac:dyDescent="0.35">
      <c r="A17" s="5" t="s">
        <v>23</v>
      </c>
      <c r="B17" s="5" t="s">
        <v>24</v>
      </c>
      <c r="C17" s="7">
        <v>3000</v>
      </c>
      <c r="D17" s="4" t="s">
        <v>25</v>
      </c>
    </row>
    <row r="18" spans="1:4" ht="15.75" customHeight="1" x14ac:dyDescent="0.35">
      <c r="C18" s="1"/>
    </row>
    <row r="19" spans="1:4" ht="15.75" customHeight="1" x14ac:dyDescent="0.35">
      <c r="A19" s="93" t="s">
        <v>26</v>
      </c>
      <c r="C19" s="1"/>
    </row>
    <row r="20" spans="1:4" ht="15.75" customHeight="1" x14ac:dyDescent="0.35">
      <c r="A20" s="2" t="s">
        <v>1</v>
      </c>
      <c r="B20" s="2" t="s">
        <v>2</v>
      </c>
      <c r="C20" s="3" t="s">
        <v>27</v>
      </c>
      <c r="D20" s="2" t="s">
        <v>4</v>
      </c>
    </row>
    <row r="21" spans="1:4" ht="15.75" customHeight="1" x14ac:dyDescent="0.35">
      <c r="A21" s="4" t="s">
        <v>18</v>
      </c>
      <c r="B21" s="4" t="s">
        <v>28</v>
      </c>
      <c r="C21" s="95">
        <v>0.2</v>
      </c>
      <c r="D21" s="4" t="s">
        <v>29</v>
      </c>
    </row>
    <row r="22" spans="1:4" ht="15.75" customHeight="1" x14ac:dyDescent="0.35">
      <c r="A22" s="5" t="s">
        <v>18</v>
      </c>
      <c r="B22" s="5" t="s">
        <v>30</v>
      </c>
      <c r="C22" s="8">
        <v>0.05</v>
      </c>
      <c r="D22" s="4" t="s">
        <v>31</v>
      </c>
    </row>
    <row r="23" spans="1:4" ht="15.75" customHeight="1" x14ac:dyDescent="0.35">
      <c r="C23" s="1"/>
    </row>
    <row r="24" spans="1:4" ht="15.75" customHeight="1" x14ac:dyDescent="0.35">
      <c r="A24" s="9" t="s">
        <v>32</v>
      </c>
      <c r="C24" s="1"/>
    </row>
    <row r="25" spans="1:4" ht="15.75" customHeight="1" x14ac:dyDescent="0.35">
      <c r="A25" s="2" t="s">
        <v>1</v>
      </c>
      <c r="B25" s="2" t="s">
        <v>2</v>
      </c>
      <c r="C25" s="3" t="s">
        <v>27</v>
      </c>
      <c r="D25" s="2" t="s">
        <v>4</v>
      </c>
    </row>
    <row r="26" spans="1:4" ht="15.75" customHeight="1" x14ac:dyDescent="0.35">
      <c r="A26" s="4" t="s">
        <v>33</v>
      </c>
      <c r="B26" s="4" t="s">
        <v>34</v>
      </c>
      <c r="C26" s="10">
        <v>0.21</v>
      </c>
    </row>
    <row r="27" spans="1:4" ht="15.75" customHeight="1" x14ac:dyDescent="0.35">
      <c r="C27" s="1"/>
    </row>
    <row r="28" spans="1:4" ht="15.75" customHeight="1" x14ac:dyDescent="0.35">
      <c r="C28" s="1"/>
    </row>
    <row r="29" spans="1:4" ht="15.75" customHeight="1" x14ac:dyDescent="0.35">
      <c r="C29" s="1"/>
    </row>
    <row r="30" spans="1:4" ht="15.75" customHeight="1" x14ac:dyDescent="0.35">
      <c r="C30" s="1"/>
    </row>
    <row r="31" spans="1:4" ht="15.75" customHeight="1" x14ac:dyDescent="0.35">
      <c r="C31" s="1"/>
    </row>
    <row r="32" spans="1:4" ht="15.75" customHeight="1" x14ac:dyDescent="0.35">
      <c r="C32" s="1"/>
    </row>
    <row r="33" spans="3:3" ht="15.75" customHeight="1" x14ac:dyDescent="0.35">
      <c r="C33" s="1"/>
    </row>
    <row r="34" spans="3:3" ht="15.75" customHeight="1" x14ac:dyDescent="0.35">
      <c r="C34" s="1"/>
    </row>
    <row r="35" spans="3:3" ht="15.75" customHeight="1" x14ac:dyDescent="0.35">
      <c r="C35" s="1"/>
    </row>
    <row r="36" spans="3:3" ht="15.75" customHeight="1" x14ac:dyDescent="0.35">
      <c r="C36" s="1"/>
    </row>
    <row r="37" spans="3:3" ht="15.75" customHeight="1" x14ac:dyDescent="0.35">
      <c r="C37" s="1"/>
    </row>
    <row r="38" spans="3:3" ht="15.75" customHeight="1" x14ac:dyDescent="0.35">
      <c r="C38" s="1"/>
    </row>
    <row r="39" spans="3:3" ht="15.75" customHeight="1" x14ac:dyDescent="0.35">
      <c r="C39" s="1"/>
    </row>
    <row r="40" spans="3:3" ht="15.75" customHeight="1" x14ac:dyDescent="0.35">
      <c r="C40" s="1"/>
    </row>
    <row r="41" spans="3:3" ht="15.75" customHeight="1" x14ac:dyDescent="0.35">
      <c r="C41" s="1"/>
    </row>
    <row r="42" spans="3:3" ht="15.75" customHeight="1" x14ac:dyDescent="0.35">
      <c r="C42" s="1"/>
    </row>
    <row r="43" spans="3:3" ht="15.75" customHeight="1" x14ac:dyDescent="0.35">
      <c r="C43" s="1"/>
    </row>
    <row r="44" spans="3:3" ht="15.75" customHeight="1" x14ac:dyDescent="0.35">
      <c r="C44" s="1"/>
    </row>
    <row r="45" spans="3:3" ht="15.75" customHeight="1" x14ac:dyDescent="0.35">
      <c r="C45" s="1"/>
    </row>
    <row r="46" spans="3:3" ht="15.75" customHeight="1" x14ac:dyDescent="0.35">
      <c r="C46" s="1"/>
    </row>
    <row r="47" spans="3:3" ht="15.75" customHeight="1" x14ac:dyDescent="0.35">
      <c r="C47" s="1"/>
    </row>
    <row r="48" spans="3:3" ht="15.75" customHeight="1" x14ac:dyDescent="0.35">
      <c r="C48" s="1"/>
    </row>
    <row r="49" spans="3:3" ht="15.75" customHeight="1" x14ac:dyDescent="0.35">
      <c r="C49" s="1"/>
    </row>
    <row r="50" spans="3:3" ht="15.75" customHeight="1" x14ac:dyDescent="0.35">
      <c r="C50" s="1"/>
    </row>
    <row r="51" spans="3:3" ht="15.75" customHeight="1" x14ac:dyDescent="0.35">
      <c r="C51" s="1"/>
    </row>
    <row r="52" spans="3:3" ht="15.75" customHeight="1" x14ac:dyDescent="0.35">
      <c r="C52" s="1"/>
    </row>
    <row r="53" spans="3:3" ht="15.75" customHeight="1" x14ac:dyDescent="0.35">
      <c r="C53" s="1"/>
    </row>
    <row r="54" spans="3:3" ht="15.75" customHeight="1" x14ac:dyDescent="0.35">
      <c r="C54" s="1"/>
    </row>
    <row r="55" spans="3:3" ht="15.75" customHeight="1" x14ac:dyDescent="0.35">
      <c r="C55" s="1"/>
    </row>
    <row r="56" spans="3:3" ht="15.75" customHeight="1" x14ac:dyDescent="0.35">
      <c r="C56" s="1"/>
    </row>
    <row r="57" spans="3:3" ht="15.75" customHeight="1" x14ac:dyDescent="0.35">
      <c r="C57" s="1"/>
    </row>
    <row r="58" spans="3:3" ht="15.75" customHeight="1" x14ac:dyDescent="0.35">
      <c r="C58" s="1"/>
    </row>
    <row r="59" spans="3:3" ht="15.75" customHeight="1" x14ac:dyDescent="0.35">
      <c r="C59" s="1"/>
    </row>
    <row r="60" spans="3:3" ht="15.75" customHeight="1" x14ac:dyDescent="0.35">
      <c r="C60" s="1"/>
    </row>
    <row r="61" spans="3:3" ht="15.75" customHeight="1" x14ac:dyDescent="0.35">
      <c r="C61" s="1"/>
    </row>
    <row r="62" spans="3:3" ht="15.75" customHeight="1" x14ac:dyDescent="0.35">
      <c r="C62" s="1"/>
    </row>
    <row r="63" spans="3:3" ht="15.75" customHeight="1" x14ac:dyDescent="0.35">
      <c r="C63" s="1"/>
    </row>
    <row r="64" spans="3:3" ht="15.75" customHeight="1" x14ac:dyDescent="0.35">
      <c r="C64" s="1"/>
    </row>
    <row r="65" spans="3:3" ht="15.75" customHeight="1" x14ac:dyDescent="0.35">
      <c r="C65" s="1"/>
    </row>
    <row r="66" spans="3:3" ht="15.75" customHeight="1" x14ac:dyDescent="0.35">
      <c r="C66" s="1"/>
    </row>
    <row r="67" spans="3:3" ht="15.75" customHeight="1" x14ac:dyDescent="0.35">
      <c r="C67" s="1"/>
    </row>
    <row r="68" spans="3:3" ht="15.75" customHeight="1" x14ac:dyDescent="0.35">
      <c r="C68" s="1"/>
    </row>
    <row r="69" spans="3:3" ht="15.75" customHeight="1" x14ac:dyDescent="0.35">
      <c r="C69" s="1"/>
    </row>
    <row r="70" spans="3:3" ht="15.75" customHeight="1" x14ac:dyDescent="0.35">
      <c r="C70" s="1"/>
    </row>
    <row r="71" spans="3:3" ht="15.75" customHeight="1" x14ac:dyDescent="0.35">
      <c r="C71" s="1"/>
    </row>
    <row r="72" spans="3:3" ht="15.75" customHeight="1" x14ac:dyDescent="0.35">
      <c r="C72" s="1"/>
    </row>
    <row r="73" spans="3:3" ht="15.75" customHeight="1" x14ac:dyDescent="0.35">
      <c r="C73" s="1"/>
    </row>
    <row r="74" spans="3:3" ht="15.75" customHeight="1" x14ac:dyDescent="0.35">
      <c r="C74" s="1"/>
    </row>
    <row r="75" spans="3:3" ht="15.75" customHeight="1" x14ac:dyDescent="0.35">
      <c r="C75" s="1"/>
    </row>
    <row r="76" spans="3:3" ht="15.75" customHeight="1" x14ac:dyDescent="0.35">
      <c r="C76" s="1"/>
    </row>
    <row r="77" spans="3:3" ht="15.75" customHeight="1" x14ac:dyDescent="0.35">
      <c r="C77" s="1"/>
    </row>
    <row r="78" spans="3:3" ht="15.75" customHeight="1" x14ac:dyDescent="0.35">
      <c r="C78" s="1"/>
    </row>
    <row r="79" spans="3:3" ht="15.75" customHeight="1" x14ac:dyDescent="0.35">
      <c r="C79" s="1"/>
    </row>
    <row r="80" spans="3:3" ht="15.75" customHeight="1" x14ac:dyDescent="0.35">
      <c r="C80" s="1"/>
    </row>
    <row r="81" spans="3:3" ht="15.75" customHeight="1" x14ac:dyDescent="0.35">
      <c r="C81" s="1"/>
    </row>
    <row r="82" spans="3:3" ht="15.75" customHeight="1" x14ac:dyDescent="0.35">
      <c r="C82" s="1"/>
    </row>
    <row r="83" spans="3:3" ht="15.75" customHeight="1" x14ac:dyDescent="0.35">
      <c r="C83" s="1"/>
    </row>
    <row r="84" spans="3:3" ht="15.75" customHeight="1" x14ac:dyDescent="0.35">
      <c r="C84" s="1"/>
    </row>
    <row r="85" spans="3:3" ht="15.75" customHeight="1" x14ac:dyDescent="0.35">
      <c r="C85" s="1"/>
    </row>
    <row r="86" spans="3:3" ht="15.75" customHeight="1" x14ac:dyDescent="0.35">
      <c r="C86" s="1"/>
    </row>
    <row r="87" spans="3:3" ht="15.75" customHeight="1" x14ac:dyDescent="0.35">
      <c r="C87" s="1"/>
    </row>
    <row r="88" spans="3:3" ht="15.75" customHeight="1" x14ac:dyDescent="0.35">
      <c r="C88" s="1"/>
    </row>
    <row r="89" spans="3:3" ht="15.75" customHeight="1" x14ac:dyDescent="0.35">
      <c r="C89" s="1"/>
    </row>
    <row r="90" spans="3:3" ht="15.75" customHeight="1" x14ac:dyDescent="0.35">
      <c r="C90" s="1"/>
    </row>
    <row r="91" spans="3:3" ht="15.75" customHeight="1" x14ac:dyDescent="0.35">
      <c r="C91" s="1"/>
    </row>
    <row r="92" spans="3:3" ht="15.75" customHeight="1" x14ac:dyDescent="0.35">
      <c r="C92" s="1"/>
    </row>
    <row r="93" spans="3:3" ht="15.75" customHeight="1" x14ac:dyDescent="0.35">
      <c r="C93" s="1"/>
    </row>
    <row r="94" spans="3:3" ht="15.75" customHeight="1" x14ac:dyDescent="0.35">
      <c r="C94" s="1"/>
    </row>
    <row r="95" spans="3:3" ht="15.75" customHeight="1" x14ac:dyDescent="0.35">
      <c r="C95" s="1"/>
    </row>
    <row r="96" spans="3:3" ht="15.75" customHeight="1" x14ac:dyDescent="0.35">
      <c r="C96" s="1"/>
    </row>
    <row r="97" spans="3:3" ht="15.75" customHeight="1" x14ac:dyDescent="0.35">
      <c r="C97" s="1"/>
    </row>
    <row r="98" spans="3:3" ht="15.75" customHeight="1" x14ac:dyDescent="0.35">
      <c r="C98" s="1"/>
    </row>
    <row r="99" spans="3:3" ht="15.75" customHeight="1" x14ac:dyDescent="0.35">
      <c r="C99" s="1"/>
    </row>
    <row r="100" spans="3:3" ht="15.75" customHeight="1" x14ac:dyDescent="0.35">
      <c r="C100" s="1"/>
    </row>
    <row r="101" spans="3:3" ht="15.75" customHeight="1" x14ac:dyDescent="0.35">
      <c r="C101" s="1"/>
    </row>
    <row r="102" spans="3:3" ht="15.75" customHeight="1" x14ac:dyDescent="0.35">
      <c r="C102" s="1"/>
    </row>
    <row r="103" spans="3:3" ht="15.75" customHeight="1" x14ac:dyDescent="0.35">
      <c r="C103" s="1"/>
    </row>
    <row r="104" spans="3:3" ht="15.75" customHeight="1" x14ac:dyDescent="0.35">
      <c r="C104" s="1"/>
    </row>
    <row r="105" spans="3:3" ht="15.75" customHeight="1" x14ac:dyDescent="0.35">
      <c r="C105" s="1"/>
    </row>
    <row r="106" spans="3:3" ht="15.75" customHeight="1" x14ac:dyDescent="0.35">
      <c r="C106" s="1"/>
    </row>
    <row r="107" spans="3:3" ht="15.75" customHeight="1" x14ac:dyDescent="0.35">
      <c r="C107" s="1"/>
    </row>
    <row r="108" spans="3:3" ht="15.75" customHeight="1" x14ac:dyDescent="0.35">
      <c r="C108" s="1"/>
    </row>
    <row r="109" spans="3:3" ht="15.75" customHeight="1" x14ac:dyDescent="0.35">
      <c r="C109" s="1"/>
    </row>
    <row r="110" spans="3:3" ht="15.75" customHeight="1" x14ac:dyDescent="0.35">
      <c r="C110" s="1"/>
    </row>
    <row r="111" spans="3:3" ht="15.75" customHeight="1" x14ac:dyDescent="0.35">
      <c r="C111" s="1"/>
    </row>
    <row r="112" spans="3:3" ht="15.75" customHeight="1" x14ac:dyDescent="0.35">
      <c r="C112" s="1"/>
    </row>
    <row r="113" spans="3:3" ht="15.75" customHeight="1" x14ac:dyDescent="0.35">
      <c r="C113" s="1"/>
    </row>
    <row r="114" spans="3:3" ht="15.75" customHeight="1" x14ac:dyDescent="0.35">
      <c r="C114" s="1"/>
    </row>
    <row r="115" spans="3:3" ht="15.75" customHeight="1" x14ac:dyDescent="0.35">
      <c r="C115" s="1"/>
    </row>
    <row r="116" spans="3:3" ht="15.75" customHeight="1" x14ac:dyDescent="0.35">
      <c r="C116" s="1"/>
    </row>
    <row r="117" spans="3:3" ht="15.75" customHeight="1" x14ac:dyDescent="0.35">
      <c r="C117" s="1"/>
    </row>
    <row r="118" spans="3:3" ht="15.75" customHeight="1" x14ac:dyDescent="0.35">
      <c r="C118" s="1"/>
    </row>
    <row r="119" spans="3:3" ht="15.75" customHeight="1" x14ac:dyDescent="0.35">
      <c r="C119" s="1"/>
    </row>
    <row r="120" spans="3:3" ht="15.75" customHeight="1" x14ac:dyDescent="0.35">
      <c r="C120" s="1"/>
    </row>
    <row r="121" spans="3:3" ht="15.75" customHeight="1" x14ac:dyDescent="0.35">
      <c r="C121" s="1"/>
    </row>
    <row r="122" spans="3:3" ht="15.75" customHeight="1" x14ac:dyDescent="0.35">
      <c r="C122" s="1"/>
    </row>
    <row r="123" spans="3:3" ht="15.75" customHeight="1" x14ac:dyDescent="0.35">
      <c r="C123" s="1"/>
    </row>
    <row r="124" spans="3:3" ht="15.75" customHeight="1" x14ac:dyDescent="0.35">
      <c r="C124" s="1"/>
    </row>
    <row r="125" spans="3:3" ht="15.75" customHeight="1" x14ac:dyDescent="0.35">
      <c r="C125" s="1"/>
    </row>
    <row r="126" spans="3:3" ht="15.75" customHeight="1" x14ac:dyDescent="0.35">
      <c r="C126" s="1"/>
    </row>
    <row r="127" spans="3:3" ht="15.75" customHeight="1" x14ac:dyDescent="0.35">
      <c r="C127" s="1"/>
    </row>
    <row r="128" spans="3:3" ht="15.75" customHeight="1" x14ac:dyDescent="0.35">
      <c r="C128" s="1"/>
    </row>
    <row r="129" spans="3:3" ht="15.75" customHeight="1" x14ac:dyDescent="0.35">
      <c r="C129" s="1"/>
    </row>
    <row r="130" spans="3:3" ht="15.75" customHeight="1" x14ac:dyDescent="0.35">
      <c r="C130" s="1"/>
    </row>
    <row r="131" spans="3:3" ht="15.75" customHeight="1" x14ac:dyDescent="0.35">
      <c r="C131" s="1"/>
    </row>
    <row r="132" spans="3:3" ht="15.75" customHeight="1" x14ac:dyDescent="0.35">
      <c r="C132" s="1"/>
    </row>
    <row r="133" spans="3:3" ht="15.75" customHeight="1" x14ac:dyDescent="0.35">
      <c r="C133" s="1"/>
    </row>
    <row r="134" spans="3:3" ht="15.75" customHeight="1" x14ac:dyDescent="0.35">
      <c r="C134" s="1"/>
    </row>
    <row r="135" spans="3:3" ht="15.75" customHeight="1" x14ac:dyDescent="0.35">
      <c r="C135" s="1"/>
    </row>
    <row r="136" spans="3:3" ht="15.75" customHeight="1" x14ac:dyDescent="0.35">
      <c r="C136" s="1"/>
    </row>
    <row r="137" spans="3:3" ht="15.75" customHeight="1" x14ac:dyDescent="0.35">
      <c r="C137" s="1"/>
    </row>
    <row r="138" spans="3:3" ht="15.75" customHeight="1" x14ac:dyDescent="0.35">
      <c r="C138" s="1"/>
    </row>
    <row r="139" spans="3:3" ht="15.75" customHeight="1" x14ac:dyDescent="0.35">
      <c r="C139" s="1"/>
    </row>
    <row r="140" spans="3:3" ht="15.75" customHeight="1" x14ac:dyDescent="0.35">
      <c r="C140" s="1"/>
    </row>
    <row r="141" spans="3:3" ht="15.75" customHeight="1" x14ac:dyDescent="0.35">
      <c r="C141" s="1"/>
    </row>
    <row r="142" spans="3:3" ht="15.75" customHeight="1" x14ac:dyDescent="0.35">
      <c r="C142" s="1"/>
    </row>
    <row r="143" spans="3:3" ht="15.75" customHeight="1" x14ac:dyDescent="0.35">
      <c r="C143" s="1"/>
    </row>
    <row r="144" spans="3:3" ht="15.75" customHeight="1" x14ac:dyDescent="0.35">
      <c r="C144" s="1"/>
    </row>
    <row r="145" spans="3:3" ht="15.75" customHeight="1" x14ac:dyDescent="0.35">
      <c r="C145" s="1"/>
    </row>
    <row r="146" spans="3:3" ht="15.75" customHeight="1" x14ac:dyDescent="0.35">
      <c r="C146" s="1"/>
    </row>
    <row r="147" spans="3:3" ht="15.75" customHeight="1" x14ac:dyDescent="0.35">
      <c r="C147" s="1"/>
    </row>
    <row r="148" spans="3:3" ht="15.75" customHeight="1" x14ac:dyDescent="0.35">
      <c r="C148" s="1"/>
    </row>
    <row r="149" spans="3:3" ht="15.75" customHeight="1" x14ac:dyDescent="0.35">
      <c r="C149" s="1"/>
    </row>
    <row r="150" spans="3:3" ht="15.75" customHeight="1" x14ac:dyDescent="0.35">
      <c r="C150" s="1"/>
    </row>
    <row r="151" spans="3:3" ht="15.75" customHeight="1" x14ac:dyDescent="0.35">
      <c r="C151" s="1"/>
    </row>
    <row r="152" spans="3:3" ht="15.75" customHeight="1" x14ac:dyDescent="0.35">
      <c r="C152" s="1"/>
    </row>
    <row r="153" spans="3:3" ht="15.75" customHeight="1" x14ac:dyDescent="0.35">
      <c r="C153" s="1"/>
    </row>
    <row r="154" spans="3:3" ht="15.75" customHeight="1" x14ac:dyDescent="0.35">
      <c r="C154" s="1"/>
    </row>
    <row r="155" spans="3:3" ht="15.75" customHeight="1" x14ac:dyDescent="0.35">
      <c r="C155" s="1"/>
    </row>
    <row r="156" spans="3:3" ht="15.75" customHeight="1" x14ac:dyDescent="0.35">
      <c r="C156" s="1"/>
    </row>
    <row r="157" spans="3:3" ht="15.75" customHeight="1" x14ac:dyDescent="0.35">
      <c r="C157" s="1"/>
    </row>
    <row r="158" spans="3:3" ht="15.75" customHeight="1" x14ac:dyDescent="0.35">
      <c r="C158" s="1"/>
    </row>
    <row r="159" spans="3:3" ht="15.75" customHeight="1" x14ac:dyDescent="0.35">
      <c r="C159" s="1"/>
    </row>
    <row r="160" spans="3:3" ht="15.75" customHeight="1" x14ac:dyDescent="0.35">
      <c r="C160" s="1"/>
    </row>
    <row r="161" spans="3:3" ht="15.75" customHeight="1" x14ac:dyDescent="0.35">
      <c r="C161" s="1"/>
    </row>
    <row r="162" spans="3:3" ht="15.75" customHeight="1" x14ac:dyDescent="0.35">
      <c r="C162" s="1"/>
    </row>
    <row r="163" spans="3:3" ht="15.75" customHeight="1" x14ac:dyDescent="0.35">
      <c r="C163" s="1"/>
    </row>
    <row r="164" spans="3:3" ht="15.75" customHeight="1" x14ac:dyDescent="0.35">
      <c r="C164" s="1"/>
    </row>
    <row r="165" spans="3:3" ht="15.75" customHeight="1" x14ac:dyDescent="0.35">
      <c r="C165" s="1"/>
    </row>
    <row r="166" spans="3:3" ht="15.75" customHeight="1" x14ac:dyDescent="0.35">
      <c r="C166" s="1"/>
    </row>
    <row r="167" spans="3:3" ht="15.75" customHeight="1" x14ac:dyDescent="0.35">
      <c r="C167" s="1"/>
    </row>
    <row r="168" spans="3:3" ht="15.75" customHeight="1" x14ac:dyDescent="0.35">
      <c r="C168" s="1"/>
    </row>
    <row r="169" spans="3:3" ht="15.75" customHeight="1" x14ac:dyDescent="0.35">
      <c r="C169" s="1"/>
    </row>
    <row r="170" spans="3:3" ht="15.75" customHeight="1" x14ac:dyDescent="0.35">
      <c r="C170" s="1"/>
    </row>
    <row r="171" spans="3:3" ht="15.75" customHeight="1" x14ac:dyDescent="0.35">
      <c r="C171" s="1"/>
    </row>
    <row r="172" spans="3:3" ht="15.75" customHeight="1" x14ac:dyDescent="0.35">
      <c r="C172" s="1"/>
    </row>
    <row r="173" spans="3:3" ht="15.75" customHeight="1" x14ac:dyDescent="0.35">
      <c r="C173" s="1"/>
    </row>
    <row r="174" spans="3:3" ht="15.75" customHeight="1" x14ac:dyDescent="0.35">
      <c r="C174" s="1"/>
    </row>
    <row r="175" spans="3:3" ht="15.75" customHeight="1" x14ac:dyDescent="0.35">
      <c r="C175" s="1"/>
    </row>
    <row r="176" spans="3:3" ht="15.75" customHeight="1" x14ac:dyDescent="0.35">
      <c r="C176" s="1"/>
    </row>
    <row r="177" spans="3:3" ht="15.75" customHeight="1" x14ac:dyDescent="0.35">
      <c r="C177" s="1"/>
    </row>
    <row r="178" spans="3:3" ht="15.75" customHeight="1" x14ac:dyDescent="0.35">
      <c r="C178" s="1"/>
    </row>
    <row r="179" spans="3:3" ht="15.75" customHeight="1" x14ac:dyDescent="0.35">
      <c r="C179" s="1"/>
    </row>
    <row r="180" spans="3:3" ht="15.75" customHeight="1" x14ac:dyDescent="0.35">
      <c r="C180" s="1"/>
    </row>
    <row r="181" spans="3:3" ht="15.75" customHeight="1" x14ac:dyDescent="0.35">
      <c r="C181" s="1"/>
    </row>
    <row r="182" spans="3:3" ht="15.75" customHeight="1" x14ac:dyDescent="0.35">
      <c r="C182" s="1"/>
    </row>
    <row r="183" spans="3:3" ht="15.75" customHeight="1" x14ac:dyDescent="0.35">
      <c r="C183" s="1"/>
    </row>
    <row r="184" spans="3:3" ht="15.75" customHeight="1" x14ac:dyDescent="0.35">
      <c r="C184" s="1"/>
    </row>
    <row r="185" spans="3:3" ht="15.75" customHeight="1" x14ac:dyDescent="0.35">
      <c r="C185" s="1"/>
    </row>
    <row r="186" spans="3:3" ht="15.75" customHeight="1" x14ac:dyDescent="0.35">
      <c r="C186" s="1"/>
    </row>
    <row r="187" spans="3:3" ht="15.75" customHeight="1" x14ac:dyDescent="0.35">
      <c r="C187" s="1"/>
    </row>
    <row r="188" spans="3:3" ht="15.75" customHeight="1" x14ac:dyDescent="0.35">
      <c r="C188" s="1"/>
    </row>
    <row r="189" spans="3:3" ht="15.75" customHeight="1" x14ac:dyDescent="0.35">
      <c r="C189" s="1"/>
    </row>
    <row r="190" spans="3:3" ht="15.75" customHeight="1" x14ac:dyDescent="0.35">
      <c r="C190" s="1"/>
    </row>
    <row r="191" spans="3:3" ht="15.75" customHeight="1" x14ac:dyDescent="0.35">
      <c r="C191" s="1"/>
    </row>
    <row r="192" spans="3:3" ht="15.75" customHeight="1" x14ac:dyDescent="0.35">
      <c r="C192" s="1"/>
    </row>
    <row r="193" spans="3:3" ht="15.75" customHeight="1" x14ac:dyDescent="0.35">
      <c r="C193" s="1"/>
    </row>
    <row r="194" spans="3:3" ht="15.75" customHeight="1" x14ac:dyDescent="0.35">
      <c r="C194" s="1"/>
    </row>
    <row r="195" spans="3:3" ht="15.75" customHeight="1" x14ac:dyDescent="0.35">
      <c r="C195" s="1"/>
    </row>
    <row r="196" spans="3:3" ht="15.75" customHeight="1" x14ac:dyDescent="0.35">
      <c r="C196" s="1"/>
    </row>
    <row r="197" spans="3:3" ht="15.75" customHeight="1" x14ac:dyDescent="0.35">
      <c r="C197" s="1"/>
    </row>
    <row r="198" spans="3:3" ht="15.75" customHeight="1" x14ac:dyDescent="0.35">
      <c r="C198" s="1"/>
    </row>
    <row r="199" spans="3:3" ht="15.75" customHeight="1" x14ac:dyDescent="0.35">
      <c r="C199" s="1"/>
    </row>
    <row r="200" spans="3:3" ht="15.75" customHeight="1" x14ac:dyDescent="0.35">
      <c r="C200" s="1"/>
    </row>
    <row r="201" spans="3:3" ht="15.75" customHeight="1" x14ac:dyDescent="0.35">
      <c r="C201" s="1"/>
    </row>
    <row r="202" spans="3:3" ht="15.75" customHeight="1" x14ac:dyDescent="0.35">
      <c r="C202" s="1"/>
    </row>
    <row r="203" spans="3:3" ht="15.75" customHeight="1" x14ac:dyDescent="0.35">
      <c r="C203" s="1"/>
    </row>
    <row r="204" spans="3:3" ht="15.75" customHeight="1" x14ac:dyDescent="0.35">
      <c r="C204" s="1"/>
    </row>
    <row r="205" spans="3:3" ht="15.75" customHeight="1" x14ac:dyDescent="0.35">
      <c r="C205" s="1"/>
    </row>
    <row r="206" spans="3:3" ht="15.75" customHeight="1" x14ac:dyDescent="0.35">
      <c r="C206" s="1"/>
    </row>
    <row r="207" spans="3:3" ht="15.75" customHeight="1" x14ac:dyDescent="0.35">
      <c r="C207" s="1"/>
    </row>
    <row r="208" spans="3:3" ht="15.75" customHeight="1" x14ac:dyDescent="0.35">
      <c r="C208" s="1"/>
    </row>
    <row r="209" spans="3:3" ht="15.75" customHeight="1" x14ac:dyDescent="0.35">
      <c r="C209" s="1"/>
    </row>
    <row r="210" spans="3:3" ht="15.75" customHeight="1" x14ac:dyDescent="0.35">
      <c r="C210" s="1"/>
    </row>
    <row r="211" spans="3:3" ht="15.75" customHeight="1" x14ac:dyDescent="0.35">
      <c r="C211" s="1"/>
    </row>
    <row r="212" spans="3:3" ht="15.75" customHeight="1" x14ac:dyDescent="0.35">
      <c r="C212" s="1"/>
    </row>
    <row r="213" spans="3:3" ht="15.75" customHeight="1" x14ac:dyDescent="0.35">
      <c r="C213" s="1"/>
    </row>
    <row r="214" spans="3:3" ht="15.75" customHeight="1" x14ac:dyDescent="0.35">
      <c r="C214" s="1"/>
    </row>
    <row r="215" spans="3:3" ht="15.75" customHeight="1" x14ac:dyDescent="0.35">
      <c r="C215" s="1"/>
    </row>
    <row r="216" spans="3:3" ht="15.75" customHeight="1" x14ac:dyDescent="0.35">
      <c r="C216" s="1"/>
    </row>
    <row r="217" spans="3:3" ht="15.75" customHeight="1" x14ac:dyDescent="0.35">
      <c r="C217" s="1"/>
    </row>
    <row r="218" spans="3:3" ht="15.75" customHeight="1" x14ac:dyDescent="0.35">
      <c r="C218" s="1"/>
    </row>
    <row r="219" spans="3:3" ht="15.75" customHeight="1" x14ac:dyDescent="0.35">
      <c r="C219" s="1"/>
    </row>
    <row r="220" spans="3:3" ht="15.75" customHeight="1" x14ac:dyDescent="0.35">
      <c r="C220" s="1"/>
    </row>
    <row r="221" spans="3:3" ht="15.75" customHeight="1" x14ac:dyDescent="0.35">
      <c r="C221" s="1"/>
    </row>
    <row r="222" spans="3:3" ht="15.75" customHeight="1" x14ac:dyDescent="0.35">
      <c r="C222" s="1"/>
    </row>
    <row r="223" spans="3:3" ht="15.75" customHeight="1" x14ac:dyDescent="0.35">
      <c r="C223" s="1"/>
    </row>
    <row r="224" spans="3:3" ht="15.75" customHeight="1" x14ac:dyDescent="0.35">
      <c r="C224" s="1"/>
    </row>
    <row r="225" spans="3:3" ht="15.75" customHeight="1" x14ac:dyDescent="0.35">
      <c r="C225" s="1"/>
    </row>
    <row r="226" spans="3:3" ht="15.75" customHeight="1" x14ac:dyDescent="0.35">
      <c r="C226" s="1"/>
    </row>
    <row r="227" spans="3:3" ht="15.75" customHeight="1" x14ac:dyDescent="0.35">
      <c r="C227" s="1"/>
    </row>
    <row r="228" spans="3:3" ht="15.75" customHeight="1" x14ac:dyDescent="0.35">
      <c r="C228" s="1"/>
    </row>
    <row r="229" spans="3:3" ht="15.75" customHeight="1" x14ac:dyDescent="0.35">
      <c r="C229" s="1"/>
    </row>
    <row r="230" spans="3:3" ht="15.75" customHeight="1" x14ac:dyDescent="0.35">
      <c r="C230" s="1"/>
    </row>
    <row r="231" spans="3:3" ht="15.75" customHeight="1" x14ac:dyDescent="0.35">
      <c r="C231" s="1"/>
    </row>
    <row r="232" spans="3:3" ht="15.75" customHeight="1" x14ac:dyDescent="0.35">
      <c r="C232" s="1"/>
    </row>
    <row r="233" spans="3:3" ht="15.75" customHeight="1" x14ac:dyDescent="0.35">
      <c r="C233" s="1"/>
    </row>
    <row r="234" spans="3:3" ht="15.75" customHeight="1" x14ac:dyDescent="0.35">
      <c r="C234" s="1"/>
    </row>
    <row r="235" spans="3:3" ht="15.75" customHeight="1" x14ac:dyDescent="0.35">
      <c r="C235" s="1"/>
    </row>
    <row r="236" spans="3:3" ht="15.75" customHeight="1" x14ac:dyDescent="0.35">
      <c r="C236" s="1"/>
    </row>
    <row r="237" spans="3:3" ht="15.75" customHeight="1" x14ac:dyDescent="0.35">
      <c r="C237" s="1"/>
    </row>
    <row r="238" spans="3:3" ht="15.75" customHeight="1" x14ac:dyDescent="0.35">
      <c r="C238" s="1"/>
    </row>
    <row r="239" spans="3:3" ht="15.75" customHeight="1" x14ac:dyDescent="0.35">
      <c r="C239" s="1"/>
    </row>
    <row r="240" spans="3:3" ht="15.75" customHeight="1" x14ac:dyDescent="0.35">
      <c r="C240" s="1"/>
    </row>
    <row r="241" spans="3:3" ht="15.75" customHeight="1" x14ac:dyDescent="0.35">
      <c r="C241" s="1"/>
    </row>
    <row r="242" spans="3:3" ht="15.75" customHeight="1" x14ac:dyDescent="0.35">
      <c r="C242" s="1"/>
    </row>
    <row r="243" spans="3:3" ht="15.75" customHeight="1" x14ac:dyDescent="0.35">
      <c r="C243" s="1"/>
    </row>
    <row r="244" spans="3:3" ht="15.75" customHeight="1" x14ac:dyDescent="0.35">
      <c r="C244" s="1"/>
    </row>
    <row r="245" spans="3:3" ht="15.75" customHeight="1" x14ac:dyDescent="0.35">
      <c r="C245" s="1"/>
    </row>
    <row r="246" spans="3:3" ht="15.75" customHeight="1" x14ac:dyDescent="0.35">
      <c r="C246" s="1"/>
    </row>
    <row r="247" spans="3:3" ht="15.75" customHeight="1" x14ac:dyDescent="0.35">
      <c r="C247" s="1"/>
    </row>
    <row r="248" spans="3:3" ht="15.75" customHeight="1" x14ac:dyDescent="0.35">
      <c r="C248" s="1"/>
    </row>
    <row r="249" spans="3:3" ht="15.75" customHeight="1" x14ac:dyDescent="0.35">
      <c r="C249" s="1"/>
    </row>
    <row r="250" spans="3:3" ht="15.75" customHeight="1" x14ac:dyDescent="0.35">
      <c r="C250" s="1"/>
    </row>
    <row r="251" spans="3:3" ht="15.75" customHeight="1" x14ac:dyDescent="0.35">
      <c r="C251" s="1"/>
    </row>
    <row r="252" spans="3:3" ht="15.75" customHeight="1" x14ac:dyDescent="0.35">
      <c r="C252" s="1"/>
    </row>
    <row r="253" spans="3:3" ht="15.75" customHeight="1" x14ac:dyDescent="0.35">
      <c r="C253" s="1"/>
    </row>
    <row r="254" spans="3:3" ht="15.75" customHeight="1" x14ac:dyDescent="0.35">
      <c r="C254" s="1"/>
    </row>
    <row r="255" spans="3:3" ht="15.75" customHeight="1" x14ac:dyDescent="0.35">
      <c r="C255" s="1"/>
    </row>
    <row r="256" spans="3:3" ht="15.75" customHeight="1" x14ac:dyDescent="0.35">
      <c r="C256" s="1"/>
    </row>
    <row r="257" spans="3:3" ht="15.75" customHeight="1" x14ac:dyDescent="0.35">
      <c r="C257" s="1"/>
    </row>
    <row r="258" spans="3:3" ht="15.75" customHeight="1" x14ac:dyDescent="0.35">
      <c r="C258" s="1"/>
    </row>
    <row r="259" spans="3:3" ht="15.75" customHeight="1" x14ac:dyDescent="0.35">
      <c r="C259" s="1"/>
    </row>
    <row r="260" spans="3:3" ht="15.75" customHeight="1" x14ac:dyDescent="0.35">
      <c r="C260" s="1"/>
    </row>
    <row r="261" spans="3:3" ht="15.75" customHeight="1" x14ac:dyDescent="0.35">
      <c r="C261" s="1"/>
    </row>
    <row r="262" spans="3:3" ht="15.75" customHeight="1" x14ac:dyDescent="0.35">
      <c r="C262" s="1"/>
    </row>
    <row r="263" spans="3:3" ht="15.75" customHeight="1" x14ac:dyDescent="0.35">
      <c r="C263" s="1"/>
    </row>
    <row r="264" spans="3:3" ht="15.75" customHeight="1" x14ac:dyDescent="0.35">
      <c r="C264" s="1"/>
    </row>
    <row r="265" spans="3:3" ht="15.75" customHeight="1" x14ac:dyDescent="0.35">
      <c r="C265" s="1"/>
    </row>
    <row r="266" spans="3:3" ht="15.75" customHeight="1" x14ac:dyDescent="0.35">
      <c r="C266" s="1"/>
    </row>
    <row r="267" spans="3:3" ht="15.75" customHeight="1" x14ac:dyDescent="0.35">
      <c r="C267" s="1"/>
    </row>
    <row r="268" spans="3:3" ht="15.75" customHeight="1" x14ac:dyDescent="0.35">
      <c r="C268" s="1"/>
    </row>
    <row r="269" spans="3:3" ht="15.75" customHeight="1" x14ac:dyDescent="0.35">
      <c r="C269" s="1"/>
    </row>
    <row r="270" spans="3:3" ht="15.75" customHeight="1" x14ac:dyDescent="0.35">
      <c r="C270" s="1"/>
    </row>
    <row r="271" spans="3:3" ht="15.75" customHeight="1" x14ac:dyDescent="0.35">
      <c r="C271" s="1"/>
    </row>
    <row r="272" spans="3:3" ht="15.75" customHeight="1" x14ac:dyDescent="0.35">
      <c r="C272" s="1"/>
    </row>
    <row r="273" spans="3:3" ht="15.75" customHeight="1" x14ac:dyDescent="0.35">
      <c r="C273" s="1"/>
    </row>
    <row r="274" spans="3:3" ht="15.75" customHeight="1" x14ac:dyDescent="0.35">
      <c r="C274" s="1"/>
    </row>
    <row r="275" spans="3:3" ht="15.75" customHeight="1" x14ac:dyDescent="0.35">
      <c r="C275" s="1"/>
    </row>
    <row r="276" spans="3:3" ht="15.75" customHeight="1" x14ac:dyDescent="0.35">
      <c r="C276" s="1"/>
    </row>
    <row r="277" spans="3:3" ht="15.75" customHeight="1" x14ac:dyDescent="0.35">
      <c r="C277" s="1"/>
    </row>
    <row r="278" spans="3:3" ht="15.75" customHeight="1" x14ac:dyDescent="0.35">
      <c r="C278" s="1"/>
    </row>
    <row r="279" spans="3:3" ht="15.75" customHeight="1" x14ac:dyDescent="0.35">
      <c r="C279" s="1"/>
    </row>
    <row r="280" spans="3:3" ht="15.75" customHeight="1" x14ac:dyDescent="0.35">
      <c r="C280" s="1"/>
    </row>
    <row r="281" spans="3:3" ht="15.75" customHeight="1" x14ac:dyDescent="0.35">
      <c r="C281" s="1"/>
    </row>
    <row r="282" spans="3:3" ht="15.75" customHeight="1" x14ac:dyDescent="0.35">
      <c r="C282" s="1"/>
    </row>
    <row r="283" spans="3:3" ht="15.75" customHeight="1" x14ac:dyDescent="0.35">
      <c r="C283" s="1"/>
    </row>
    <row r="284" spans="3:3" ht="15.75" customHeight="1" x14ac:dyDescent="0.35">
      <c r="C284" s="1"/>
    </row>
    <row r="285" spans="3:3" ht="15.75" customHeight="1" x14ac:dyDescent="0.35">
      <c r="C285" s="1"/>
    </row>
    <row r="286" spans="3:3" ht="15.75" customHeight="1" x14ac:dyDescent="0.35">
      <c r="C286" s="1"/>
    </row>
    <row r="287" spans="3:3" ht="15.75" customHeight="1" x14ac:dyDescent="0.35">
      <c r="C287" s="1"/>
    </row>
    <row r="288" spans="3:3" ht="15.75" customHeight="1" x14ac:dyDescent="0.35">
      <c r="C288" s="1"/>
    </row>
    <row r="289" spans="3:3" ht="15.75" customHeight="1" x14ac:dyDescent="0.35">
      <c r="C289" s="1"/>
    </row>
    <row r="290" spans="3:3" ht="15.75" customHeight="1" x14ac:dyDescent="0.35">
      <c r="C290" s="1"/>
    </row>
    <row r="291" spans="3:3" ht="15.75" customHeight="1" x14ac:dyDescent="0.35">
      <c r="C291" s="1"/>
    </row>
    <row r="292" spans="3:3" ht="15.75" customHeight="1" x14ac:dyDescent="0.35">
      <c r="C292" s="1"/>
    </row>
    <row r="293" spans="3:3" ht="15.75" customHeight="1" x14ac:dyDescent="0.35">
      <c r="C293" s="1"/>
    </row>
    <row r="294" spans="3:3" ht="15.75" customHeight="1" x14ac:dyDescent="0.35">
      <c r="C294" s="1"/>
    </row>
    <row r="295" spans="3:3" ht="15.75" customHeight="1" x14ac:dyDescent="0.35">
      <c r="C295" s="1"/>
    </row>
    <row r="296" spans="3:3" ht="15.75" customHeight="1" x14ac:dyDescent="0.35">
      <c r="C296" s="1"/>
    </row>
    <row r="297" spans="3:3" ht="15.75" customHeight="1" x14ac:dyDescent="0.35">
      <c r="C297" s="1"/>
    </row>
    <row r="298" spans="3:3" ht="15.75" customHeight="1" x14ac:dyDescent="0.35">
      <c r="C298" s="1"/>
    </row>
    <row r="299" spans="3:3" ht="15.75" customHeight="1" x14ac:dyDescent="0.35">
      <c r="C299" s="1"/>
    </row>
    <row r="300" spans="3:3" ht="15.75" customHeight="1" x14ac:dyDescent="0.35">
      <c r="C300" s="1"/>
    </row>
    <row r="301" spans="3:3" ht="15.75" customHeight="1" x14ac:dyDescent="0.35">
      <c r="C301" s="1"/>
    </row>
    <row r="302" spans="3:3" ht="15.75" customHeight="1" x14ac:dyDescent="0.35">
      <c r="C302" s="1"/>
    </row>
    <row r="303" spans="3:3" ht="15.75" customHeight="1" x14ac:dyDescent="0.35">
      <c r="C303" s="1"/>
    </row>
    <row r="304" spans="3:3" ht="15.75" customHeight="1" x14ac:dyDescent="0.35">
      <c r="C304" s="1"/>
    </row>
    <row r="305" spans="3:3" ht="15.75" customHeight="1" x14ac:dyDescent="0.35">
      <c r="C305" s="1"/>
    </row>
    <row r="306" spans="3:3" ht="15.75" customHeight="1" x14ac:dyDescent="0.35">
      <c r="C306" s="1"/>
    </row>
    <row r="307" spans="3:3" ht="15.75" customHeight="1" x14ac:dyDescent="0.35">
      <c r="C307" s="1"/>
    </row>
    <row r="308" spans="3:3" ht="15.75" customHeight="1" x14ac:dyDescent="0.35">
      <c r="C308" s="1"/>
    </row>
    <row r="309" spans="3:3" ht="15.75" customHeight="1" x14ac:dyDescent="0.35">
      <c r="C309" s="1"/>
    </row>
    <row r="310" spans="3:3" ht="15.75" customHeight="1" x14ac:dyDescent="0.35">
      <c r="C310" s="1"/>
    </row>
    <row r="311" spans="3:3" ht="15.75" customHeight="1" x14ac:dyDescent="0.35">
      <c r="C311" s="1"/>
    </row>
    <row r="312" spans="3:3" ht="15.75" customHeight="1" x14ac:dyDescent="0.35">
      <c r="C312" s="1"/>
    </row>
    <row r="313" spans="3:3" ht="15.75" customHeight="1" x14ac:dyDescent="0.35">
      <c r="C313" s="1"/>
    </row>
    <row r="314" spans="3:3" ht="15.75" customHeight="1" x14ac:dyDescent="0.35">
      <c r="C314" s="1"/>
    </row>
    <row r="315" spans="3:3" ht="15.75" customHeight="1" x14ac:dyDescent="0.35">
      <c r="C315" s="1"/>
    </row>
    <row r="316" spans="3:3" ht="15.75" customHeight="1" x14ac:dyDescent="0.35">
      <c r="C316" s="1"/>
    </row>
    <row r="317" spans="3:3" ht="15.75" customHeight="1" x14ac:dyDescent="0.35">
      <c r="C317" s="1"/>
    </row>
    <row r="318" spans="3:3" ht="15.75" customHeight="1" x14ac:dyDescent="0.35">
      <c r="C318" s="1"/>
    </row>
    <row r="319" spans="3:3" ht="15.75" customHeight="1" x14ac:dyDescent="0.35">
      <c r="C319" s="1"/>
    </row>
    <row r="320" spans="3:3" ht="15.75" customHeight="1" x14ac:dyDescent="0.35">
      <c r="C320" s="1"/>
    </row>
    <row r="321" spans="3:3" ht="15.75" customHeight="1" x14ac:dyDescent="0.35">
      <c r="C321" s="1"/>
    </row>
    <row r="322" spans="3:3" ht="15.75" customHeight="1" x14ac:dyDescent="0.35">
      <c r="C322" s="1"/>
    </row>
    <row r="323" spans="3:3" ht="15.75" customHeight="1" x14ac:dyDescent="0.35">
      <c r="C323" s="1"/>
    </row>
    <row r="324" spans="3:3" ht="15.75" customHeight="1" x14ac:dyDescent="0.35">
      <c r="C324" s="1"/>
    </row>
    <row r="325" spans="3:3" ht="15.75" customHeight="1" x14ac:dyDescent="0.35">
      <c r="C325" s="1"/>
    </row>
    <row r="326" spans="3:3" ht="15.75" customHeight="1" x14ac:dyDescent="0.35">
      <c r="C326" s="1"/>
    </row>
    <row r="327" spans="3:3" ht="15.75" customHeight="1" x14ac:dyDescent="0.35">
      <c r="C327" s="1"/>
    </row>
    <row r="328" spans="3:3" ht="15.75" customHeight="1" x14ac:dyDescent="0.35">
      <c r="C328" s="1"/>
    </row>
    <row r="329" spans="3:3" ht="15.75" customHeight="1" x14ac:dyDescent="0.35">
      <c r="C329" s="1"/>
    </row>
    <row r="330" spans="3:3" ht="15.75" customHeight="1" x14ac:dyDescent="0.35">
      <c r="C330" s="1"/>
    </row>
    <row r="331" spans="3:3" ht="15.75" customHeight="1" x14ac:dyDescent="0.35">
      <c r="C331" s="1"/>
    </row>
    <row r="332" spans="3:3" ht="15.75" customHeight="1" x14ac:dyDescent="0.35">
      <c r="C332" s="1"/>
    </row>
    <row r="333" spans="3:3" ht="15.75" customHeight="1" x14ac:dyDescent="0.35">
      <c r="C333" s="1"/>
    </row>
    <row r="334" spans="3:3" ht="15.75" customHeight="1" x14ac:dyDescent="0.35">
      <c r="C334" s="1"/>
    </row>
    <row r="335" spans="3:3" ht="15.75" customHeight="1" x14ac:dyDescent="0.35">
      <c r="C335" s="1"/>
    </row>
    <row r="336" spans="3:3" ht="15.75" customHeight="1" x14ac:dyDescent="0.35">
      <c r="C336" s="1"/>
    </row>
    <row r="337" spans="3:3" ht="15.75" customHeight="1" x14ac:dyDescent="0.35">
      <c r="C337" s="1"/>
    </row>
    <row r="338" spans="3:3" ht="15.75" customHeight="1" x14ac:dyDescent="0.35">
      <c r="C338" s="1"/>
    </row>
    <row r="339" spans="3:3" ht="15.75" customHeight="1" x14ac:dyDescent="0.35">
      <c r="C339" s="1"/>
    </row>
    <row r="340" spans="3:3" ht="15.75" customHeight="1" x14ac:dyDescent="0.35">
      <c r="C340" s="1"/>
    </row>
    <row r="341" spans="3:3" ht="15.75" customHeight="1" x14ac:dyDescent="0.35">
      <c r="C341" s="1"/>
    </row>
    <row r="342" spans="3:3" ht="15.75" customHeight="1" x14ac:dyDescent="0.35">
      <c r="C342" s="1"/>
    </row>
    <row r="343" spans="3:3" ht="15.75" customHeight="1" x14ac:dyDescent="0.35">
      <c r="C343" s="1"/>
    </row>
    <row r="344" spans="3:3" ht="15.75" customHeight="1" x14ac:dyDescent="0.35">
      <c r="C344" s="1"/>
    </row>
    <row r="345" spans="3:3" ht="15.75" customHeight="1" x14ac:dyDescent="0.35">
      <c r="C345" s="1"/>
    </row>
    <row r="346" spans="3:3" ht="15.75" customHeight="1" x14ac:dyDescent="0.35">
      <c r="C346" s="1"/>
    </row>
    <row r="347" spans="3:3" ht="15.75" customHeight="1" x14ac:dyDescent="0.35">
      <c r="C347" s="1"/>
    </row>
    <row r="348" spans="3:3" ht="15.75" customHeight="1" x14ac:dyDescent="0.35">
      <c r="C348" s="1"/>
    </row>
    <row r="349" spans="3:3" ht="15.75" customHeight="1" x14ac:dyDescent="0.35">
      <c r="C349" s="1"/>
    </row>
    <row r="350" spans="3:3" ht="15.75" customHeight="1" x14ac:dyDescent="0.35">
      <c r="C350" s="1"/>
    </row>
    <row r="351" spans="3:3" ht="15.75" customHeight="1" x14ac:dyDescent="0.35">
      <c r="C351" s="1"/>
    </row>
    <row r="352" spans="3:3" ht="15.75" customHeight="1" x14ac:dyDescent="0.35">
      <c r="C352" s="1"/>
    </row>
    <row r="353" spans="3:3" ht="15.75" customHeight="1" x14ac:dyDescent="0.35">
      <c r="C353" s="1"/>
    </row>
    <row r="354" spans="3:3" ht="15.75" customHeight="1" x14ac:dyDescent="0.35">
      <c r="C354" s="1"/>
    </row>
    <row r="355" spans="3:3" ht="15.75" customHeight="1" x14ac:dyDescent="0.35">
      <c r="C355" s="1"/>
    </row>
    <row r="356" spans="3:3" ht="15.75" customHeight="1" x14ac:dyDescent="0.35">
      <c r="C356" s="1"/>
    </row>
    <row r="357" spans="3:3" ht="15.75" customHeight="1" x14ac:dyDescent="0.35">
      <c r="C357" s="1"/>
    </row>
    <row r="358" spans="3:3" ht="15.75" customHeight="1" x14ac:dyDescent="0.35">
      <c r="C358" s="1"/>
    </row>
    <row r="359" spans="3:3" ht="15.75" customHeight="1" x14ac:dyDescent="0.35">
      <c r="C359" s="1"/>
    </row>
    <row r="360" spans="3:3" ht="15.75" customHeight="1" x14ac:dyDescent="0.35">
      <c r="C360" s="1"/>
    </row>
    <row r="361" spans="3:3" ht="15.75" customHeight="1" x14ac:dyDescent="0.35">
      <c r="C361" s="1"/>
    </row>
    <row r="362" spans="3:3" ht="15.75" customHeight="1" x14ac:dyDescent="0.35">
      <c r="C362" s="1"/>
    </row>
    <row r="363" spans="3:3" ht="15.75" customHeight="1" x14ac:dyDescent="0.35">
      <c r="C363" s="1"/>
    </row>
    <row r="364" spans="3:3" ht="15.75" customHeight="1" x14ac:dyDescent="0.35">
      <c r="C364" s="1"/>
    </row>
    <row r="365" spans="3:3" ht="15.75" customHeight="1" x14ac:dyDescent="0.35">
      <c r="C365" s="1"/>
    </row>
    <row r="366" spans="3:3" ht="15.75" customHeight="1" x14ac:dyDescent="0.35">
      <c r="C366" s="1"/>
    </row>
    <row r="367" spans="3:3" ht="15.75" customHeight="1" x14ac:dyDescent="0.35">
      <c r="C367" s="1"/>
    </row>
    <row r="368" spans="3:3" ht="15.75" customHeight="1" x14ac:dyDescent="0.35">
      <c r="C368" s="1"/>
    </row>
    <row r="369" spans="3:3" ht="15.75" customHeight="1" x14ac:dyDescent="0.35">
      <c r="C369" s="1"/>
    </row>
    <row r="370" spans="3:3" ht="15.75" customHeight="1" x14ac:dyDescent="0.35">
      <c r="C370" s="1"/>
    </row>
    <row r="371" spans="3:3" ht="15.75" customHeight="1" x14ac:dyDescent="0.35">
      <c r="C371" s="1"/>
    </row>
    <row r="372" spans="3:3" ht="15.75" customHeight="1" x14ac:dyDescent="0.35">
      <c r="C372" s="1"/>
    </row>
    <row r="373" spans="3:3" ht="15.75" customHeight="1" x14ac:dyDescent="0.35">
      <c r="C373" s="1"/>
    </row>
    <row r="374" spans="3:3" ht="15.75" customHeight="1" x14ac:dyDescent="0.35">
      <c r="C374" s="1"/>
    </row>
    <row r="375" spans="3:3" ht="15.75" customHeight="1" x14ac:dyDescent="0.35">
      <c r="C375" s="1"/>
    </row>
    <row r="376" spans="3:3" ht="15.75" customHeight="1" x14ac:dyDescent="0.35">
      <c r="C376" s="1"/>
    </row>
    <row r="377" spans="3:3" ht="15.75" customHeight="1" x14ac:dyDescent="0.35">
      <c r="C377" s="1"/>
    </row>
    <row r="378" spans="3:3" ht="15.75" customHeight="1" x14ac:dyDescent="0.35">
      <c r="C378" s="1"/>
    </row>
    <row r="379" spans="3:3" ht="15.75" customHeight="1" x14ac:dyDescent="0.35">
      <c r="C379" s="1"/>
    </row>
    <row r="380" spans="3:3" ht="15.75" customHeight="1" x14ac:dyDescent="0.35">
      <c r="C380" s="1"/>
    </row>
    <row r="381" spans="3:3" ht="15.75" customHeight="1" x14ac:dyDescent="0.35">
      <c r="C381" s="1"/>
    </row>
    <row r="382" spans="3:3" ht="15.75" customHeight="1" x14ac:dyDescent="0.35">
      <c r="C382" s="1"/>
    </row>
    <row r="383" spans="3:3" ht="15.75" customHeight="1" x14ac:dyDescent="0.35">
      <c r="C383" s="1"/>
    </row>
    <row r="384" spans="3:3" ht="15.75" customHeight="1" x14ac:dyDescent="0.35">
      <c r="C384" s="1"/>
    </row>
    <row r="385" spans="3:3" ht="15.75" customHeight="1" x14ac:dyDescent="0.35">
      <c r="C385" s="1"/>
    </row>
    <row r="386" spans="3:3" ht="15.75" customHeight="1" x14ac:dyDescent="0.35">
      <c r="C386" s="1"/>
    </row>
    <row r="387" spans="3:3" ht="15.75" customHeight="1" x14ac:dyDescent="0.35">
      <c r="C387" s="1"/>
    </row>
    <row r="388" spans="3:3" ht="15.75" customHeight="1" x14ac:dyDescent="0.35">
      <c r="C388" s="1"/>
    </row>
    <row r="389" spans="3:3" ht="15.75" customHeight="1" x14ac:dyDescent="0.35">
      <c r="C389" s="1"/>
    </row>
    <row r="390" spans="3:3" ht="15.75" customHeight="1" x14ac:dyDescent="0.35">
      <c r="C390" s="1"/>
    </row>
    <row r="391" spans="3:3" ht="15.75" customHeight="1" x14ac:dyDescent="0.35">
      <c r="C391" s="1"/>
    </row>
    <row r="392" spans="3:3" ht="15.75" customHeight="1" x14ac:dyDescent="0.35">
      <c r="C392" s="1"/>
    </row>
    <row r="393" spans="3:3" ht="15.75" customHeight="1" x14ac:dyDescent="0.35">
      <c r="C393" s="1"/>
    </row>
    <row r="394" spans="3:3" ht="15.75" customHeight="1" x14ac:dyDescent="0.35">
      <c r="C394" s="1"/>
    </row>
    <row r="395" spans="3:3" ht="15.75" customHeight="1" x14ac:dyDescent="0.35">
      <c r="C395" s="1"/>
    </row>
    <row r="396" spans="3:3" ht="15.75" customHeight="1" x14ac:dyDescent="0.35">
      <c r="C396" s="1"/>
    </row>
    <row r="397" spans="3:3" ht="15.75" customHeight="1" x14ac:dyDescent="0.35">
      <c r="C397" s="1"/>
    </row>
    <row r="398" spans="3:3" ht="15.75" customHeight="1" x14ac:dyDescent="0.35">
      <c r="C398" s="1"/>
    </row>
    <row r="399" spans="3:3" ht="15.75" customHeight="1" x14ac:dyDescent="0.35">
      <c r="C399" s="1"/>
    </row>
    <row r="400" spans="3:3" ht="15.75" customHeight="1" x14ac:dyDescent="0.35">
      <c r="C400" s="1"/>
    </row>
    <row r="401" spans="3:3" ht="15.75" customHeight="1" x14ac:dyDescent="0.35">
      <c r="C401" s="1"/>
    </row>
    <row r="402" spans="3:3" ht="15.75" customHeight="1" x14ac:dyDescent="0.35">
      <c r="C402" s="1"/>
    </row>
    <row r="403" spans="3:3" ht="15.75" customHeight="1" x14ac:dyDescent="0.35">
      <c r="C403" s="1"/>
    </row>
    <row r="404" spans="3:3" ht="15.75" customHeight="1" x14ac:dyDescent="0.35">
      <c r="C404" s="1"/>
    </row>
    <row r="405" spans="3:3" ht="15.75" customHeight="1" x14ac:dyDescent="0.35">
      <c r="C405" s="1"/>
    </row>
    <row r="406" spans="3:3" ht="15.75" customHeight="1" x14ac:dyDescent="0.35">
      <c r="C406" s="1"/>
    </row>
    <row r="407" spans="3:3" ht="15.75" customHeight="1" x14ac:dyDescent="0.35">
      <c r="C407" s="1"/>
    </row>
    <row r="408" spans="3:3" ht="15.75" customHeight="1" x14ac:dyDescent="0.35">
      <c r="C408" s="1"/>
    </row>
    <row r="409" spans="3:3" ht="15.75" customHeight="1" x14ac:dyDescent="0.35">
      <c r="C409" s="1"/>
    </row>
    <row r="410" spans="3:3" ht="15.75" customHeight="1" x14ac:dyDescent="0.35">
      <c r="C410" s="1"/>
    </row>
    <row r="411" spans="3:3" ht="15.75" customHeight="1" x14ac:dyDescent="0.35">
      <c r="C411" s="1"/>
    </row>
    <row r="412" spans="3:3" ht="15.75" customHeight="1" x14ac:dyDescent="0.35">
      <c r="C412" s="1"/>
    </row>
    <row r="413" spans="3:3" ht="15.75" customHeight="1" x14ac:dyDescent="0.35">
      <c r="C413" s="1"/>
    </row>
    <row r="414" spans="3:3" ht="15.75" customHeight="1" x14ac:dyDescent="0.35">
      <c r="C414" s="1"/>
    </row>
    <row r="415" spans="3:3" ht="15.75" customHeight="1" x14ac:dyDescent="0.35">
      <c r="C415" s="1"/>
    </row>
    <row r="416" spans="3:3" ht="15.75" customHeight="1" x14ac:dyDescent="0.35">
      <c r="C416" s="1"/>
    </row>
    <row r="417" spans="3:3" ht="15.75" customHeight="1" x14ac:dyDescent="0.35">
      <c r="C417" s="1"/>
    </row>
    <row r="418" spans="3:3" ht="15.75" customHeight="1" x14ac:dyDescent="0.35">
      <c r="C418" s="1"/>
    </row>
    <row r="419" spans="3:3" ht="15.75" customHeight="1" x14ac:dyDescent="0.35">
      <c r="C419" s="1"/>
    </row>
    <row r="420" spans="3:3" ht="15.75" customHeight="1" x14ac:dyDescent="0.35">
      <c r="C420" s="1"/>
    </row>
    <row r="421" spans="3:3" ht="15.75" customHeight="1" x14ac:dyDescent="0.35">
      <c r="C421" s="1"/>
    </row>
    <row r="422" spans="3:3" ht="15.75" customHeight="1" x14ac:dyDescent="0.35">
      <c r="C422" s="1"/>
    </row>
    <row r="423" spans="3:3" ht="15.75" customHeight="1" x14ac:dyDescent="0.35">
      <c r="C423" s="1"/>
    </row>
    <row r="424" spans="3:3" ht="15.75" customHeight="1" x14ac:dyDescent="0.35">
      <c r="C424" s="1"/>
    </row>
    <row r="425" spans="3:3" ht="15.75" customHeight="1" x14ac:dyDescent="0.35">
      <c r="C425" s="1"/>
    </row>
    <row r="426" spans="3:3" ht="15.75" customHeight="1" x14ac:dyDescent="0.35">
      <c r="C426" s="1"/>
    </row>
    <row r="427" spans="3:3" ht="15.75" customHeight="1" x14ac:dyDescent="0.35">
      <c r="C427" s="1"/>
    </row>
    <row r="428" spans="3:3" ht="15.75" customHeight="1" x14ac:dyDescent="0.35">
      <c r="C428" s="1"/>
    </row>
    <row r="429" spans="3:3" ht="15.75" customHeight="1" x14ac:dyDescent="0.35">
      <c r="C429" s="1"/>
    </row>
    <row r="430" spans="3:3" ht="15.75" customHeight="1" x14ac:dyDescent="0.35">
      <c r="C430" s="1"/>
    </row>
    <row r="431" spans="3:3" ht="15.75" customHeight="1" x14ac:dyDescent="0.35">
      <c r="C431" s="1"/>
    </row>
    <row r="432" spans="3:3" ht="15.75" customHeight="1" x14ac:dyDescent="0.35">
      <c r="C432" s="1"/>
    </row>
    <row r="433" spans="3:3" ht="15.75" customHeight="1" x14ac:dyDescent="0.35">
      <c r="C433" s="1"/>
    </row>
    <row r="434" spans="3:3" ht="15.75" customHeight="1" x14ac:dyDescent="0.35">
      <c r="C434" s="1"/>
    </row>
    <row r="435" spans="3:3" ht="15.75" customHeight="1" x14ac:dyDescent="0.35">
      <c r="C435" s="1"/>
    </row>
    <row r="436" spans="3:3" ht="15.75" customHeight="1" x14ac:dyDescent="0.35">
      <c r="C436" s="1"/>
    </row>
    <row r="437" spans="3:3" ht="15.75" customHeight="1" x14ac:dyDescent="0.35">
      <c r="C437" s="1"/>
    </row>
    <row r="438" spans="3:3" ht="15.75" customHeight="1" x14ac:dyDescent="0.35">
      <c r="C438" s="1"/>
    </row>
    <row r="439" spans="3:3" ht="15.75" customHeight="1" x14ac:dyDescent="0.35">
      <c r="C439" s="1"/>
    </row>
    <row r="440" spans="3:3" ht="15.75" customHeight="1" x14ac:dyDescent="0.35">
      <c r="C440" s="1"/>
    </row>
    <row r="441" spans="3:3" ht="15.75" customHeight="1" x14ac:dyDescent="0.35">
      <c r="C441" s="1"/>
    </row>
    <row r="442" spans="3:3" ht="15.75" customHeight="1" x14ac:dyDescent="0.35">
      <c r="C442" s="1"/>
    </row>
    <row r="443" spans="3:3" ht="15.75" customHeight="1" x14ac:dyDescent="0.35">
      <c r="C443" s="1"/>
    </row>
    <row r="444" spans="3:3" ht="15.75" customHeight="1" x14ac:dyDescent="0.35">
      <c r="C444" s="1"/>
    </row>
    <row r="445" spans="3:3" ht="15.75" customHeight="1" x14ac:dyDescent="0.35">
      <c r="C445" s="1"/>
    </row>
    <row r="446" spans="3:3" ht="15.75" customHeight="1" x14ac:dyDescent="0.35">
      <c r="C446" s="1"/>
    </row>
    <row r="447" spans="3:3" ht="15.75" customHeight="1" x14ac:dyDescent="0.35">
      <c r="C447" s="1"/>
    </row>
    <row r="448" spans="3:3" ht="15.75" customHeight="1" x14ac:dyDescent="0.35">
      <c r="C448" s="1"/>
    </row>
    <row r="449" spans="3:3" ht="15.75" customHeight="1" x14ac:dyDescent="0.35">
      <c r="C449" s="1"/>
    </row>
    <row r="450" spans="3:3" ht="15.75" customHeight="1" x14ac:dyDescent="0.35">
      <c r="C450" s="1"/>
    </row>
    <row r="451" spans="3:3" ht="15.75" customHeight="1" x14ac:dyDescent="0.35">
      <c r="C451" s="1"/>
    </row>
    <row r="452" spans="3:3" ht="15.75" customHeight="1" x14ac:dyDescent="0.35">
      <c r="C452" s="1"/>
    </row>
    <row r="453" spans="3:3" ht="15.75" customHeight="1" x14ac:dyDescent="0.35">
      <c r="C453" s="1"/>
    </row>
    <row r="454" spans="3:3" ht="15.75" customHeight="1" x14ac:dyDescent="0.35">
      <c r="C454" s="1"/>
    </row>
    <row r="455" spans="3:3" ht="15.75" customHeight="1" x14ac:dyDescent="0.35">
      <c r="C455" s="1"/>
    </row>
    <row r="456" spans="3:3" ht="15.75" customHeight="1" x14ac:dyDescent="0.35">
      <c r="C456" s="1"/>
    </row>
    <row r="457" spans="3:3" ht="15.75" customHeight="1" x14ac:dyDescent="0.35">
      <c r="C457" s="1"/>
    </row>
    <row r="458" spans="3:3" ht="15.75" customHeight="1" x14ac:dyDescent="0.35">
      <c r="C458" s="1"/>
    </row>
    <row r="459" spans="3:3" ht="15.75" customHeight="1" x14ac:dyDescent="0.35">
      <c r="C459" s="1"/>
    </row>
    <row r="460" spans="3:3" ht="15.75" customHeight="1" x14ac:dyDescent="0.35">
      <c r="C460" s="1"/>
    </row>
    <row r="461" spans="3:3" ht="15.75" customHeight="1" x14ac:dyDescent="0.35">
      <c r="C461" s="1"/>
    </row>
    <row r="462" spans="3:3" ht="15.75" customHeight="1" x14ac:dyDescent="0.35">
      <c r="C462" s="1"/>
    </row>
    <row r="463" spans="3:3" ht="15.75" customHeight="1" x14ac:dyDescent="0.35">
      <c r="C463" s="1"/>
    </row>
    <row r="464" spans="3:3" ht="15.75" customHeight="1" x14ac:dyDescent="0.35">
      <c r="C464" s="1"/>
    </row>
    <row r="465" spans="3:3" ht="15.75" customHeight="1" x14ac:dyDescent="0.35">
      <c r="C465" s="1"/>
    </row>
    <row r="466" spans="3:3" ht="15.75" customHeight="1" x14ac:dyDescent="0.35">
      <c r="C466" s="1"/>
    </row>
    <row r="467" spans="3:3" ht="15.75" customHeight="1" x14ac:dyDescent="0.35">
      <c r="C467" s="1"/>
    </row>
    <row r="468" spans="3:3" ht="15.75" customHeight="1" x14ac:dyDescent="0.35">
      <c r="C468" s="1"/>
    </row>
    <row r="469" spans="3:3" ht="15.75" customHeight="1" x14ac:dyDescent="0.35">
      <c r="C469" s="1"/>
    </row>
    <row r="470" spans="3:3" ht="15.75" customHeight="1" x14ac:dyDescent="0.35">
      <c r="C470" s="1"/>
    </row>
    <row r="471" spans="3:3" ht="15.75" customHeight="1" x14ac:dyDescent="0.35">
      <c r="C471" s="1"/>
    </row>
    <row r="472" spans="3:3" ht="15.75" customHeight="1" x14ac:dyDescent="0.35">
      <c r="C472" s="1"/>
    </row>
    <row r="473" spans="3:3" ht="15.75" customHeight="1" x14ac:dyDescent="0.35">
      <c r="C473" s="1"/>
    </row>
    <row r="474" spans="3:3" ht="15.75" customHeight="1" x14ac:dyDescent="0.35">
      <c r="C474" s="1"/>
    </row>
    <row r="475" spans="3:3" ht="15.75" customHeight="1" x14ac:dyDescent="0.35">
      <c r="C475" s="1"/>
    </row>
    <row r="476" spans="3:3" ht="15.75" customHeight="1" x14ac:dyDescent="0.35">
      <c r="C476" s="1"/>
    </row>
    <row r="477" spans="3:3" ht="15.75" customHeight="1" x14ac:dyDescent="0.35">
      <c r="C477" s="1"/>
    </row>
    <row r="478" spans="3:3" ht="15.75" customHeight="1" x14ac:dyDescent="0.35">
      <c r="C478" s="1"/>
    </row>
    <row r="479" spans="3:3" ht="15.75" customHeight="1" x14ac:dyDescent="0.35">
      <c r="C479" s="1"/>
    </row>
    <row r="480" spans="3:3" ht="15.75" customHeight="1" x14ac:dyDescent="0.35">
      <c r="C480" s="1"/>
    </row>
    <row r="481" spans="3:3" ht="15.75" customHeight="1" x14ac:dyDescent="0.35">
      <c r="C481" s="1"/>
    </row>
    <row r="482" spans="3:3" ht="15.75" customHeight="1" x14ac:dyDescent="0.35">
      <c r="C482" s="1"/>
    </row>
    <row r="483" spans="3:3" ht="15.75" customHeight="1" x14ac:dyDescent="0.35">
      <c r="C483" s="1"/>
    </row>
    <row r="484" spans="3:3" ht="15.75" customHeight="1" x14ac:dyDescent="0.35">
      <c r="C484" s="1"/>
    </row>
    <row r="485" spans="3:3" ht="15.75" customHeight="1" x14ac:dyDescent="0.35">
      <c r="C485" s="1"/>
    </row>
    <row r="486" spans="3:3" ht="15.75" customHeight="1" x14ac:dyDescent="0.35">
      <c r="C486" s="1"/>
    </row>
    <row r="487" spans="3:3" ht="15.75" customHeight="1" x14ac:dyDescent="0.35">
      <c r="C487" s="1"/>
    </row>
    <row r="488" spans="3:3" ht="15.75" customHeight="1" x14ac:dyDescent="0.35">
      <c r="C488" s="1"/>
    </row>
    <row r="489" spans="3:3" ht="15.75" customHeight="1" x14ac:dyDescent="0.35">
      <c r="C489" s="1"/>
    </row>
    <row r="490" spans="3:3" ht="15.75" customHeight="1" x14ac:dyDescent="0.35">
      <c r="C490" s="1"/>
    </row>
    <row r="491" spans="3:3" ht="15.75" customHeight="1" x14ac:dyDescent="0.35">
      <c r="C491" s="1"/>
    </row>
    <row r="492" spans="3:3" ht="15.75" customHeight="1" x14ac:dyDescent="0.35">
      <c r="C492" s="1"/>
    </row>
    <row r="493" spans="3:3" ht="15.75" customHeight="1" x14ac:dyDescent="0.35">
      <c r="C493" s="1"/>
    </row>
    <row r="494" spans="3:3" ht="15.75" customHeight="1" x14ac:dyDescent="0.35">
      <c r="C494" s="1"/>
    </row>
    <row r="495" spans="3:3" ht="15.75" customHeight="1" x14ac:dyDescent="0.35">
      <c r="C495" s="1"/>
    </row>
    <row r="496" spans="3:3" ht="15.75" customHeight="1" x14ac:dyDescent="0.35">
      <c r="C496" s="1"/>
    </row>
    <row r="497" spans="3:3" ht="15.75" customHeight="1" x14ac:dyDescent="0.35">
      <c r="C497" s="1"/>
    </row>
    <row r="498" spans="3:3" ht="15.75" customHeight="1" x14ac:dyDescent="0.35">
      <c r="C498" s="1"/>
    </row>
    <row r="499" spans="3:3" ht="15.75" customHeight="1" x14ac:dyDescent="0.35">
      <c r="C499" s="1"/>
    </row>
    <row r="500" spans="3:3" ht="15.75" customHeight="1" x14ac:dyDescent="0.35">
      <c r="C500" s="1"/>
    </row>
    <row r="501" spans="3:3" ht="15.75" customHeight="1" x14ac:dyDescent="0.35">
      <c r="C501" s="1"/>
    </row>
    <row r="502" spans="3:3" ht="15.75" customHeight="1" x14ac:dyDescent="0.35">
      <c r="C502" s="1"/>
    </row>
    <row r="503" spans="3:3" ht="15.75" customHeight="1" x14ac:dyDescent="0.35">
      <c r="C503" s="1"/>
    </row>
    <row r="504" spans="3:3" ht="15.75" customHeight="1" x14ac:dyDescent="0.35">
      <c r="C504" s="1"/>
    </row>
    <row r="505" spans="3:3" ht="15.75" customHeight="1" x14ac:dyDescent="0.35">
      <c r="C505" s="1"/>
    </row>
    <row r="506" spans="3:3" ht="15.75" customHeight="1" x14ac:dyDescent="0.35">
      <c r="C506" s="1"/>
    </row>
    <row r="507" spans="3:3" ht="15.75" customHeight="1" x14ac:dyDescent="0.35">
      <c r="C507" s="1"/>
    </row>
    <row r="508" spans="3:3" ht="15.75" customHeight="1" x14ac:dyDescent="0.35">
      <c r="C508" s="1"/>
    </row>
    <row r="509" spans="3:3" ht="15.75" customHeight="1" x14ac:dyDescent="0.35">
      <c r="C509" s="1"/>
    </row>
    <row r="510" spans="3:3" ht="15.75" customHeight="1" x14ac:dyDescent="0.35">
      <c r="C510" s="1"/>
    </row>
    <row r="511" spans="3:3" ht="15.75" customHeight="1" x14ac:dyDescent="0.35">
      <c r="C511" s="1"/>
    </row>
    <row r="512" spans="3:3" ht="15.75" customHeight="1" x14ac:dyDescent="0.35">
      <c r="C512" s="1"/>
    </row>
    <row r="513" spans="3:3" ht="15.75" customHeight="1" x14ac:dyDescent="0.35">
      <c r="C513" s="1"/>
    </row>
    <row r="514" spans="3:3" ht="15.75" customHeight="1" x14ac:dyDescent="0.35">
      <c r="C514" s="1"/>
    </row>
    <row r="515" spans="3:3" ht="15.75" customHeight="1" x14ac:dyDescent="0.35">
      <c r="C515" s="1"/>
    </row>
    <row r="516" spans="3:3" ht="15.75" customHeight="1" x14ac:dyDescent="0.35">
      <c r="C516" s="1"/>
    </row>
    <row r="517" spans="3:3" ht="15.75" customHeight="1" x14ac:dyDescent="0.35">
      <c r="C517" s="1"/>
    </row>
    <row r="518" spans="3:3" ht="15.75" customHeight="1" x14ac:dyDescent="0.35">
      <c r="C518" s="1"/>
    </row>
    <row r="519" spans="3:3" ht="15.75" customHeight="1" x14ac:dyDescent="0.35">
      <c r="C519" s="1"/>
    </row>
    <row r="520" spans="3:3" ht="15.75" customHeight="1" x14ac:dyDescent="0.35">
      <c r="C520" s="1"/>
    </row>
    <row r="521" spans="3:3" ht="15.75" customHeight="1" x14ac:dyDescent="0.35">
      <c r="C521" s="1"/>
    </row>
    <row r="522" spans="3:3" ht="15.75" customHeight="1" x14ac:dyDescent="0.35">
      <c r="C522" s="1"/>
    </row>
    <row r="523" spans="3:3" ht="15.75" customHeight="1" x14ac:dyDescent="0.35">
      <c r="C523" s="1"/>
    </row>
    <row r="524" spans="3:3" ht="15.75" customHeight="1" x14ac:dyDescent="0.35">
      <c r="C524" s="1"/>
    </row>
    <row r="525" spans="3:3" ht="15.75" customHeight="1" x14ac:dyDescent="0.35">
      <c r="C525" s="1"/>
    </row>
    <row r="526" spans="3:3" ht="15.75" customHeight="1" x14ac:dyDescent="0.35">
      <c r="C526" s="1"/>
    </row>
    <row r="527" spans="3:3" ht="15.75" customHeight="1" x14ac:dyDescent="0.35">
      <c r="C527" s="1"/>
    </row>
    <row r="528" spans="3:3" ht="15.75" customHeight="1" x14ac:dyDescent="0.35">
      <c r="C528" s="1"/>
    </row>
    <row r="529" spans="3:3" ht="15.75" customHeight="1" x14ac:dyDescent="0.35">
      <c r="C529" s="1"/>
    </row>
    <row r="530" spans="3:3" ht="15.75" customHeight="1" x14ac:dyDescent="0.35">
      <c r="C530" s="1"/>
    </row>
    <row r="531" spans="3:3" ht="15.75" customHeight="1" x14ac:dyDescent="0.35">
      <c r="C531" s="1"/>
    </row>
    <row r="532" spans="3:3" ht="15.75" customHeight="1" x14ac:dyDescent="0.35">
      <c r="C532" s="1"/>
    </row>
    <row r="533" spans="3:3" ht="15.75" customHeight="1" x14ac:dyDescent="0.35">
      <c r="C533" s="1"/>
    </row>
    <row r="534" spans="3:3" ht="15.75" customHeight="1" x14ac:dyDescent="0.35">
      <c r="C534" s="1"/>
    </row>
    <row r="535" spans="3:3" ht="15.75" customHeight="1" x14ac:dyDescent="0.35">
      <c r="C535" s="1"/>
    </row>
    <row r="536" spans="3:3" ht="15.75" customHeight="1" x14ac:dyDescent="0.35">
      <c r="C536" s="1"/>
    </row>
    <row r="537" spans="3:3" ht="15.75" customHeight="1" x14ac:dyDescent="0.35">
      <c r="C537" s="1"/>
    </row>
    <row r="538" spans="3:3" ht="15.75" customHeight="1" x14ac:dyDescent="0.35">
      <c r="C538" s="1"/>
    </row>
    <row r="539" spans="3:3" ht="15.75" customHeight="1" x14ac:dyDescent="0.35">
      <c r="C539" s="1"/>
    </row>
    <row r="540" spans="3:3" ht="15.75" customHeight="1" x14ac:dyDescent="0.35">
      <c r="C540" s="1"/>
    </row>
    <row r="541" spans="3:3" ht="15.75" customHeight="1" x14ac:dyDescent="0.35">
      <c r="C541" s="1"/>
    </row>
    <row r="542" spans="3:3" ht="15.75" customHeight="1" x14ac:dyDescent="0.35">
      <c r="C542" s="1"/>
    </row>
    <row r="543" spans="3:3" ht="15.75" customHeight="1" x14ac:dyDescent="0.35">
      <c r="C543" s="1"/>
    </row>
    <row r="544" spans="3:3" ht="15.75" customHeight="1" x14ac:dyDescent="0.35">
      <c r="C544" s="1"/>
    </row>
    <row r="545" spans="3:3" ht="15.75" customHeight="1" x14ac:dyDescent="0.35">
      <c r="C545" s="1"/>
    </row>
    <row r="546" spans="3:3" ht="15.75" customHeight="1" x14ac:dyDescent="0.35">
      <c r="C546" s="1"/>
    </row>
    <row r="547" spans="3:3" ht="15.75" customHeight="1" x14ac:dyDescent="0.35">
      <c r="C547" s="1"/>
    </row>
    <row r="548" spans="3:3" ht="15.75" customHeight="1" x14ac:dyDescent="0.35">
      <c r="C548" s="1"/>
    </row>
    <row r="549" spans="3:3" ht="15.75" customHeight="1" x14ac:dyDescent="0.35">
      <c r="C549" s="1"/>
    </row>
    <row r="550" spans="3:3" ht="15.75" customHeight="1" x14ac:dyDescent="0.35">
      <c r="C550" s="1"/>
    </row>
    <row r="551" spans="3:3" ht="15.75" customHeight="1" x14ac:dyDescent="0.35">
      <c r="C551" s="1"/>
    </row>
    <row r="552" spans="3:3" ht="15.75" customHeight="1" x14ac:dyDescent="0.35">
      <c r="C552" s="1"/>
    </row>
    <row r="553" spans="3:3" ht="15.75" customHeight="1" x14ac:dyDescent="0.35">
      <c r="C553" s="1"/>
    </row>
    <row r="554" spans="3:3" ht="15.75" customHeight="1" x14ac:dyDescent="0.35">
      <c r="C554" s="1"/>
    </row>
    <row r="555" spans="3:3" ht="15.75" customHeight="1" x14ac:dyDescent="0.35">
      <c r="C555" s="1"/>
    </row>
    <row r="556" spans="3:3" ht="15.75" customHeight="1" x14ac:dyDescent="0.35">
      <c r="C556" s="1"/>
    </row>
    <row r="557" spans="3:3" ht="15.75" customHeight="1" x14ac:dyDescent="0.35">
      <c r="C557" s="1"/>
    </row>
    <row r="558" spans="3:3" ht="15.75" customHeight="1" x14ac:dyDescent="0.35">
      <c r="C558" s="1"/>
    </row>
    <row r="559" spans="3:3" ht="15.75" customHeight="1" x14ac:dyDescent="0.35">
      <c r="C559" s="1"/>
    </row>
    <row r="560" spans="3:3" ht="15.75" customHeight="1" x14ac:dyDescent="0.35">
      <c r="C560" s="1"/>
    </row>
    <row r="561" spans="3:3" ht="15.75" customHeight="1" x14ac:dyDescent="0.35">
      <c r="C561" s="1"/>
    </row>
    <row r="562" spans="3:3" ht="15.75" customHeight="1" x14ac:dyDescent="0.35">
      <c r="C562" s="1"/>
    </row>
    <row r="563" spans="3:3" ht="15.75" customHeight="1" x14ac:dyDescent="0.35">
      <c r="C563" s="1"/>
    </row>
    <row r="564" spans="3:3" ht="15.75" customHeight="1" x14ac:dyDescent="0.35">
      <c r="C564" s="1"/>
    </row>
    <row r="565" spans="3:3" ht="15.75" customHeight="1" x14ac:dyDescent="0.35">
      <c r="C565" s="1"/>
    </row>
    <row r="566" spans="3:3" ht="15.75" customHeight="1" x14ac:dyDescent="0.35">
      <c r="C566" s="1"/>
    </row>
    <row r="567" spans="3:3" ht="15.75" customHeight="1" x14ac:dyDescent="0.35">
      <c r="C567" s="1"/>
    </row>
    <row r="568" spans="3:3" ht="15.75" customHeight="1" x14ac:dyDescent="0.35">
      <c r="C568" s="1"/>
    </row>
    <row r="569" spans="3:3" ht="15.75" customHeight="1" x14ac:dyDescent="0.35">
      <c r="C569" s="1"/>
    </row>
    <row r="570" spans="3:3" ht="15.75" customHeight="1" x14ac:dyDescent="0.35">
      <c r="C570" s="1"/>
    </row>
    <row r="571" spans="3:3" ht="15.75" customHeight="1" x14ac:dyDescent="0.35">
      <c r="C571" s="1"/>
    </row>
    <row r="572" spans="3:3" ht="15.75" customHeight="1" x14ac:dyDescent="0.35">
      <c r="C572" s="1"/>
    </row>
    <row r="573" spans="3:3" ht="15.75" customHeight="1" x14ac:dyDescent="0.35">
      <c r="C573" s="1"/>
    </row>
    <row r="574" spans="3:3" ht="15.75" customHeight="1" x14ac:dyDescent="0.35">
      <c r="C574" s="1"/>
    </row>
    <row r="575" spans="3:3" ht="15.75" customHeight="1" x14ac:dyDescent="0.35">
      <c r="C575" s="1"/>
    </row>
    <row r="576" spans="3:3" ht="15.75" customHeight="1" x14ac:dyDescent="0.35">
      <c r="C576" s="1"/>
    </row>
    <row r="577" spans="3:3" ht="15.75" customHeight="1" x14ac:dyDescent="0.35">
      <c r="C577" s="1"/>
    </row>
    <row r="578" spans="3:3" ht="15.75" customHeight="1" x14ac:dyDescent="0.35">
      <c r="C578" s="1"/>
    </row>
    <row r="579" spans="3:3" ht="15.75" customHeight="1" x14ac:dyDescent="0.35">
      <c r="C579" s="1"/>
    </row>
    <row r="580" spans="3:3" ht="15.75" customHeight="1" x14ac:dyDescent="0.35">
      <c r="C580" s="1"/>
    </row>
    <row r="581" spans="3:3" ht="15.75" customHeight="1" x14ac:dyDescent="0.35">
      <c r="C581" s="1"/>
    </row>
    <row r="582" spans="3:3" ht="15.75" customHeight="1" x14ac:dyDescent="0.35">
      <c r="C582" s="1"/>
    </row>
    <row r="583" spans="3:3" ht="15.75" customHeight="1" x14ac:dyDescent="0.35">
      <c r="C583" s="1"/>
    </row>
    <row r="584" spans="3:3" ht="15.75" customHeight="1" x14ac:dyDescent="0.35">
      <c r="C584" s="1"/>
    </row>
    <row r="585" spans="3:3" ht="15.75" customHeight="1" x14ac:dyDescent="0.35">
      <c r="C585" s="1"/>
    </row>
    <row r="586" spans="3:3" ht="15.75" customHeight="1" x14ac:dyDescent="0.35">
      <c r="C586" s="1"/>
    </row>
    <row r="587" spans="3:3" ht="15.75" customHeight="1" x14ac:dyDescent="0.35">
      <c r="C587" s="1"/>
    </row>
    <row r="588" spans="3:3" ht="15.75" customHeight="1" x14ac:dyDescent="0.35">
      <c r="C588" s="1"/>
    </row>
    <row r="589" spans="3:3" ht="15.75" customHeight="1" x14ac:dyDescent="0.35">
      <c r="C589" s="1"/>
    </row>
    <row r="590" spans="3:3" ht="15.75" customHeight="1" x14ac:dyDescent="0.35">
      <c r="C590" s="1"/>
    </row>
    <row r="591" spans="3:3" ht="15.75" customHeight="1" x14ac:dyDescent="0.35">
      <c r="C591" s="1"/>
    </row>
    <row r="592" spans="3:3" ht="15.75" customHeight="1" x14ac:dyDescent="0.35">
      <c r="C592" s="1"/>
    </row>
    <row r="593" spans="3:3" ht="15.75" customHeight="1" x14ac:dyDescent="0.35">
      <c r="C593" s="1"/>
    </row>
    <row r="594" spans="3:3" ht="15.75" customHeight="1" x14ac:dyDescent="0.35">
      <c r="C594" s="1"/>
    </row>
    <row r="595" spans="3:3" ht="15.75" customHeight="1" x14ac:dyDescent="0.35">
      <c r="C595" s="1"/>
    </row>
    <row r="596" spans="3:3" ht="15.75" customHeight="1" x14ac:dyDescent="0.35">
      <c r="C596" s="1"/>
    </row>
    <row r="597" spans="3:3" ht="15.75" customHeight="1" x14ac:dyDescent="0.35">
      <c r="C597" s="1"/>
    </row>
    <row r="598" spans="3:3" ht="15.75" customHeight="1" x14ac:dyDescent="0.35">
      <c r="C598" s="1"/>
    </row>
    <row r="599" spans="3:3" ht="15.75" customHeight="1" x14ac:dyDescent="0.35">
      <c r="C599" s="1"/>
    </row>
    <row r="600" spans="3:3" ht="15.75" customHeight="1" x14ac:dyDescent="0.35">
      <c r="C600" s="1"/>
    </row>
    <row r="601" spans="3:3" ht="15.75" customHeight="1" x14ac:dyDescent="0.35">
      <c r="C601" s="1"/>
    </row>
    <row r="602" spans="3:3" ht="15.75" customHeight="1" x14ac:dyDescent="0.35">
      <c r="C602" s="1"/>
    </row>
    <row r="603" spans="3:3" ht="15.75" customHeight="1" x14ac:dyDescent="0.35">
      <c r="C603" s="1"/>
    </row>
    <row r="604" spans="3:3" ht="15.75" customHeight="1" x14ac:dyDescent="0.35">
      <c r="C604" s="1"/>
    </row>
    <row r="605" spans="3:3" ht="15.75" customHeight="1" x14ac:dyDescent="0.35">
      <c r="C605" s="1"/>
    </row>
    <row r="606" spans="3:3" ht="15.75" customHeight="1" x14ac:dyDescent="0.35">
      <c r="C606" s="1"/>
    </row>
    <row r="607" spans="3:3" ht="15.75" customHeight="1" x14ac:dyDescent="0.35">
      <c r="C607" s="1"/>
    </row>
    <row r="608" spans="3:3" ht="15.75" customHeight="1" x14ac:dyDescent="0.35">
      <c r="C608" s="1"/>
    </row>
    <row r="609" spans="3:3" ht="15.75" customHeight="1" x14ac:dyDescent="0.35">
      <c r="C609" s="1"/>
    </row>
    <row r="610" spans="3:3" ht="15.75" customHeight="1" x14ac:dyDescent="0.35">
      <c r="C610" s="1"/>
    </row>
    <row r="611" spans="3:3" ht="15.75" customHeight="1" x14ac:dyDescent="0.35">
      <c r="C611" s="1"/>
    </row>
    <row r="612" spans="3:3" ht="15.75" customHeight="1" x14ac:dyDescent="0.35">
      <c r="C612" s="1"/>
    </row>
    <row r="613" spans="3:3" ht="15.75" customHeight="1" x14ac:dyDescent="0.35">
      <c r="C613" s="1"/>
    </row>
    <row r="614" spans="3:3" ht="15.75" customHeight="1" x14ac:dyDescent="0.35">
      <c r="C614" s="1"/>
    </row>
    <row r="615" spans="3:3" ht="15.75" customHeight="1" x14ac:dyDescent="0.35">
      <c r="C615" s="1"/>
    </row>
    <row r="616" spans="3:3" ht="15.75" customHeight="1" x14ac:dyDescent="0.35">
      <c r="C616" s="1"/>
    </row>
    <row r="617" spans="3:3" ht="15.75" customHeight="1" x14ac:dyDescent="0.35">
      <c r="C617" s="1"/>
    </row>
    <row r="618" spans="3:3" ht="15.75" customHeight="1" x14ac:dyDescent="0.35">
      <c r="C618" s="1"/>
    </row>
    <row r="619" spans="3:3" ht="15.75" customHeight="1" x14ac:dyDescent="0.35">
      <c r="C619" s="1"/>
    </row>
    <row r="620" spans="3:3" ht="15.75" customHeight="1" x14ac:dyDescent="0.35">
      <c r="C620" s="1"/>
    </row>
    <row r="621" spans="3:3" ht="15.75" customHeight="1" x14ac:dyDescent="0.35">
      <c r="C621" s="1"/>
    </row>
    <row r="622" spans="3:3" ht="15.75" customHeight="1" x14ac:dyDescent="0.35">
      <c r="C622" s="1"/>
    </row>
    <row r="623" spans="3:3" ht="15.75" customHeight="1" x14ac:dyDescent="0.35">
      <c r="C623" s="1"/>
    </row>
    <row r="624" spans="3:3" ht="15.75" customHeight="1" x14ac:dyDescent="0.35">
      <c r="C624" s="1"/>
    </row>
    <row r="625" spans="3:3" ht="15.75" customHeight="1" x14ac:dyDescent="0.35">
      <c r="C625" s="1"/>
    </row>
    <row r="626" spans="3:3" ht="15.75" customHeight="1" x14ac:dyDescent="0.35">
      <c r="C626" s="1"/>
    </row>
    <row r="627" spans="3:3" ht="15.75" customHeight="1" x14ac:dyDescent="0.35">
      <c r="C627" s="1"/>
    </row>
    <row r="628" spans="3:3" ht="15.75" customHeight="1" x14ac:dyDescent="0.35">
      <c r="C628" s="1"/>
    </row>
    <row r="629" spans="3:3" ht="15.75" customHeight="1" x14ac:dyDescent="0.35">
      <c r="C629" s="1"/>
    </row>
    <row r="630" spans="3:3" ht="15.75" customHeight="1" x14ac:dyDescent="0.35">
      <c r="C630" s="1"/>
    </row>
    <row r="631" spans="3:3" ht="15.75" customHeight="1" x14ac:dyDescent="0.35">
      <c r="C631" s="1"/>
    </row>
    <row r="632" spans="3:3" ht="15.75" customHeight="1" x14ac:dyDescent="0.35">
      <c r="C632" s="1"/>
    </row>
    <row r="633" spans="3:3" ht="15.75" customHeight="1" x14ac:dyDescent="0.35">
      <c r="C633" s="1"/>
    </row>
    <row r="634" spans="3:3" ht="15.75" customHeight="1" x14ac:dyDescent="0.35">
      <c r="C634" s="1"/>
    </row>
    <row r="635" spans="3:3" ht="15.75" customHeight="1" x14ac:dyDescent="0.35">
      <c r="C635" s="1"/>
    </row>
    <row r="636" spans="3:3" ht="15.75" customHeight="1" x14ac:dyDescent="0.35">
      <c r="C636" s="1"/>
    </row>
    <row r="637" spans="3:3" ht="15.75" customHeight="1" x14ac:dyDescent="0.35">
      <c r="C637" s="1"/>
    </row>
    <row r="638" spans="3:3" ht="15.75" customHeight="1" x14ac:dyDescent="0.35">
      <c r="C638" s="1"/>
    </row>
    <row r="639" spans="3:3" ht="15.75" customHeight="1" x14ac:dyDescent="0.35">
      <c r="C639" s="1"/>
    </row>
    <row r="640" spans="3:3" ht="15.75" customHeight="1" x14ac:dyDescent="0.35">
      <c r="C640" s="1"/>
    </row>
    <row r="641" spans="3:3" ht="15.75" customHeight="1" x14ac:dyDescent="0.35">
      <c r="C641" s="1"/>
    </row>
    <row r="642" spans="3:3" ht="15.75" customHeight="1" x14ac:dyDescent="0.35">
      <c r="C642" s="1"/>
    </row>
    <row r="643" spans="3:3" ht="15.75" customHeight="1" x14ac:dyDescent="0.35">
      <c r="C643" s="1"/>
    </row>
    <row r="644" spans="3:3" ht="15.75" customHeight="1" x14ac:dyDescent="0.35">
      <c r="C644" s="1"/>
    </row>
    <row r="645" spans="3:3" ht="15.75" customHeight="1" x14ac:dyDescent="0.35">
      <c r="C645" s="1"/>
    </row>
    <row r="646" spans="3:3" ht="15.75" customHeight="1" x14ac:dyDescent="0.35">
      <c r="C646" s="1"/>
    </row>
    <row r="647" spans="3:3" ht="15.75" customHeight="1" x14ac:dyDescent="0.35">
      <c r="C647" s="1"/>
    </row>
    <row r="648" spans="3:3" ht="15.75" customHeight="1" x14ac:dyDescent="0.35">
      <c r="C648" s="1"/>
    </row>
    <row r="649" spans="3:3" ht="15.75" customHeight="1" x14ac:dyDescent="0.35">
      <c r="C649" s="1"/>
    </row>
    <row r="650" spans="3:3" ht="15.75" customHeight="1" x14ac:dyDescent="0.35">
      <c r="C650" s="1"/>
    </row>
    <row r="651" spans="3:3" ht="15.75" customHeight="1" x14ac:dyDescent="0.35">
      <c r="C651" s="1"/>
    </row>
    <row r="652" spans="3:3" ht="15.75" customHeight="1" x14ac:dyDescent="0.35">
      <c r="C652" s="1"/>
    </row>
    <row r="653" spans="3:3" ht="15.75" customHeight="1" x14ac:dyDescent="0.35">
      <c r="C653" s="1"/>
    </row>
    <row r="654" spans="3:3" ht="15.75" customHeight="1" x14ac:dyDescent="0.35">
      <c r="C654" s="1"/>
    </row>
    <row r="655" spans="3:3" ht="15.75" customHeight="1" x14ac:dyDescent="0.35">
      <c r="C655" s="1"/>
    </row>
    <row r="656" spans="3:3" ht="15.75" customHeight="1" x14ac:dyDescent="0.35">
      <c r="C656" s="1"/>
    </row>
    <row r="657" spans="3:3" ht="15.75" customHeight="1" x14ac:dyDescent="0.35">
      <c r="C657" s="1"/>
    </row>
    <row r="658" spans="3:3" ht="15.75" customHeight="1" x14ac:dyDescent="0.35">
      <c r="C658" s="1"/>
    </row>
    <row r="659" spans="3:3" ht="15.75" customHeight="1" x14ac:dyDescent="0.35">
      <c r="C659" s="1"/>
    </row>
    <row r="660" spans="3:3" ht="15.75" customHeight="1" x14ac:dyDescent="0.35">
      <c r="C660" s="1"/>
    </row>
    <row r="661" spans="3:3" ht="15.75" customHeight="1" x14ac:dyDescent="0.35">
      <c r="C661" s="1"/>
    </row>
    <row r="662" spans="3:3" ht="15.75" customHeight="1" x14ac:dyDescent="0.35">
      <c r="C662" s="1"/>
    </row>
    <row r="663" spans="3:3" ht="15.75" customHeight="1" x14ac:dyDescent="0.35">
      <c r="C663" s="1"/>
    </row>
    <row r="664" spans="3:3" ht="15.75" customHeight="1" x14ac:dyDescent="0.35">
      <c r="C664" s="1"/>
    </row>
    <row r="665" spans="3:3" ht="15.75" customHeight="1" x14ac:dyDescent="0.35">
      <c r="C665" s="1"/>
    </row>
    <row r="666" spans="3:3" ht="15.75" customHeight="1" x14ac:dyDescent="0.35">
      <c r="C666" s="1"/>
    </row>
    <row r="667" spans="3:3" ht="15.75" customHeight="1" x14ac:dyDescent="0.35">
      <c r="C667" s="1"/>
    </row>
    <row r="668" spans="3:3" ht="15.75" customHeight="1" x14ac:dyDescent="0.35">
      <c r="C668" s="1"/>
    </row>
    <row r="669" spans="3:3" ht="15.75" customHeight="1" x14ac:dyDescent="0.35">
      <c r="C669" s="1"/>
    </row>
    <row r="670" spans="3:3" ht="15.75" customHeight="1" x14ac:dyDescent="0.35">
      <c r="C670" s="1"/>
    </row>
    <row r="671" spans="3:3" ht="15.75" customHeight="1" x14ac:dyDescent="0.35">
      <c r="C671" s="1"/>
    </row>
    <row r="672" spans="3:3" ht="15.75" customHeight="1" x14ac:dyDescent="0.35">
      <c r="C672" s="1"/>
    </row>
    <row r="673" spans="3:3" ht="15.75" customHeight="1" x14ac:dyDescent="0.35">
      <c r="C673" s="1"/>
    </row>
    <row r="674" spans="3:3" ht="15.75" customHeight="1" x14ac:dyDescent="0.35">
      <c r="C674" s="1"/>
    </row>
    <row r="675" spans="3:3" ht="15.75" customHeight="1" x14ac:dyDescent="0.35">
      <c r="C675" s="1"/>
    </row>
    <row r="676" spans="3:3" ht="15.75" customHeight="1" x14ac:dyDescent="0.35">
      <c r="C676" s="1"/>
    </row>
    <row r="677" spans="3:3" ht="15.75" customHeight="1" x14ac:dyDescent="0.35">
      <c r="C677" s="1"/>
    </row>
    <row r="678" spans="3:3" ht="15.75" customHeight="1" x14ac:dyDescent="0.35">
      <c r="C678" s="1"/>
    </row>
    <row r="679" spans="3:3" ht="15.75" customHeight="1" x14ac:dyDescent="0.35">
      <c r="C679" s="1"/>
    </row>
    <row r="680" spans="3:3" ht="15.75" customHeight="1" x14ac:dyDescent="0.35">
      <c r="C680" s="1"/>
    </row>
    <row r="681" spans="3:3" ht="15.75" customHeight="1" x14ac:dyDescent="0.35">
      <c r="C681" s="1"/>
    </row>
    <row r="682" spans="3:3" ht="15.75" customHeight="1" x14ac:dyDescent="0.35">
      <c r="C682" s="1"/>
    </row>
    <row r="683" spans="3:3" ht="15.75" customHeight="1" x14ac:dyDescent="0.35">
      <c r="C683" s="1"/>
    </row>
    <row r="684" spans="3:3" ht="15.75" customHeight="1" x14ac:dyDescent="0.35">
      <c r="C684" s="1"/>
    </row>
    <row r="685" spans="3:3" ht="15.75" customHeight="1" x14ac:dyDescent="0.35">
      <c r="C685" s="1"/>
    </row>
    <row r="686" spans="3:3" ht="15.75" customHeight="1" x14ac:dyDescent="0.35">
      <c r="C686" s="1"/>
    </row>
    <row r="687" spans="3:3" ht="15.75" customHeight="1" x14ac:dyDescent="0.35">
      <c r="C687" s="1"/>
    </row>
    <row r="688" spans="3:3" ht="15.75" customHeight="1" x14ac:dyDescent="0.35">
      <c r="C688" s="1"/>
    </row>
    <row r="689" spans="3:3" ht="15.75" customHeight="1" x14ac:dyDescent="0.35">
      <c r="C689" s="1"/>
    </row>
    <row r="690" spans="3:3" ht="15.75" customHeight="1" x14ac:dyDescent="0.35">
      <c r="C690" s="1"/>
    </row>
    <row r="691" spans="3:3" ht="15.75" customHeight="1" x14ac:dyDescent="0.35">
      <c r="C691" s="1"/>
    </row>
    <row r="692" spans="3:3" ht="15.75" customHeight="1" x14ac:dyDescent="0.35">
      <c r="C692" s="1"/>
    </row>
    <row r="693" spans="3:3" ht="15.75" customHeight="1" x14ac:dyDescent="0.35">
      <c r="C693" s="1"/>
    </row>
    <row r="694" spans="3:3" ht="15.75" customHeight="1" x14ac:dyDescent="0.35">
      <c r="C694" s="1"/>
    </row>
    <row r="695" spans="3:3" ht="15.75" customHeight="1" x14ac:dyDescent="0.35">
      <c r="C695" s="1"/>
    </row>
    <row r="696" spans="3:3" ht="15.75" customHeight="1" x14ac:dyDescent="0.35">
      <c r="C696" s="1"/>
    </row>
    <row r="697" spans="3:3" ht="15.75" customHeight="1" x14ac:dyDescent="0.35">
      <c r="C697" s="1"/>
    </row>
    <row r="698" spans="3:3" ht="15.75" customHeight="1" x14ac:dyDescent="0.35">
      <c r="C698" s="1"/>
    </row>
    <row r="699" spans="3:3" ht="15.75" customHeight="1" x14ac:dyDescent="0.35">
      <c r="C699" s="1"/>
    </row>
    <row r="700" spans="3:3" ht="15.75" customHeight="1" x14ac:dyDescent="0.35">
      <c r="C700" s="1"/>
    </row>
    <row r="701" spans="3:3" ht="15.75" customHeight="1" x14ac:dyDescent="0.35">
      <c r="C701" s="1"/>
    </row>
    <row r="702" spans="3:3" ht="15.75" customHeight="1" x14ac:dyDescent="0.35">
      <c r="C702" s="1"/>
    </row>
    <row r="703" spans="3:3" ht="15.75" customHeight="1" x14ac:dyDescent="0.35">
      <c r="C703" s="1"/>
    </row>
    <row r="704" spans="3:3" ht="15.75" customHeight="1" x14ac:dyDescent="0.35">
      <c r="C704" s="1"/>
    </row>
    <row r="705" spans="3:3" ht="15.75" customHeight="1" x14ac:dyDescent="0.35">
      <c r="C705" s="1"/>
    </row>
    <row r="706" spans="3:3" ht="15.75" customHeight="1" x14ac:dyDescent="0.35">
      <c r="C706" s="1"/>
    </row>
    <row r="707" spans="3:3" ht="15.75" customHeight="1" x14ac:dyDescent="0.35">
      <c r="C707" s="1"/>
    </row>
    <row r="708" spans="3:3" ht="15.75" customHeight="1" x14ac:dyDescent="0.35">
      <c r="C708" s="1"/>
    </row>
    <row r="709" spans="3:3" ht="15.75" customHeight="1" x14ac:dyDescent="0.35">
      <c r="C709" s="1"/>
    </row>
    <row r="710" spans="3:3" ht="15.75" customHeight="1" x14ac:dyDescent="0.35">
      <c r="C710" s="1"/>
    </row>
    <row r="711" spans="3:3" ht="15.75" customHeight="1" x14ac:dyDescent="0.35">
      <c r="C711" s="1"/>
    </row>
    <row r="712" spans="3:3" ht="15.75" customHeight="1" x14ac:dyDescent="0.35">
      <c r="C712" s="1"/>
    </row>
    <row r="713" spans="3:3" ht="15.75" customHeight="1" x14ac:dyDescent="0.35">
      <c r="C713" s="1"/>
    </row>
    <row r="714" spans="3:3" ht="15.75" customHeight="1" x14ac:dyDescent="0.35">
      <c r="C714" s="1"/>
    </row>
    <row r="715" spans="3:3" ht="15.75" customHeight="1" x14ac:dyDescent="0.35">
      <c r="C715" s="1"/>
    </row>
    <row r="716" spans="3:3" ht="15.75" customHeight="1" x14ac:dyDescent="0.35">
      <c r="C716" s="1"/>
    </row>
    <row r="717" spans="3:3" ht="15.75" customHeight="1" x14ac:dyDescent="0.35">
      <c r="C717" s="1"/>
    </row>
    <row r="718" spans="3:3" ht="15.75" customHeight="1" x14ac:dyDescent="0.35">
      <c r="C718" s="1"/>
    </row>
    <row r="719" spans="3:3" ht="15.75" customHeight="1" x14ac:dyDescent="0.35">
      <c r="C719" s="1"/>
    </row>
    <row r="720" spans="3:3" ht="15.75" customHeight="1" x14ac:dyDescent="0.35">
      <c r="C720" s="1"/>
    </row>
    <row r="721" spans="3:3" ht="15.75" customHeight="1" x14ac:dyDescent="0.35">
      <c r="C721" s="1"/>
    </row>
    <row r="722" spans="3:3" ht="15.75" customHeight="1" x14ac:dyDescent="0.35">
      <c r="C722" s="1"/>
    </row>
    <row r="723" spans="3:3" ht="15.75" customHeight="1" x14ac:dyDescent="0.35">
      <c r="C723" s="1"/>
    </row>
    <row r="724" spans="3:3" ht="15.75" customHeight="1" x14ac:dyDescent="0.35">
      <c r="C724" s="1"/>
    </row>
    <row r="725" spans="3:3" ht="15.75" customHeight="1" x14ac:dyDescent="0.35">
      <c r="C725" s="1"/>
    </row>
    <row r="726" spans="3:3" ht="15.75" customHeight="1" x14ac:dyDescent="0.35">
      <c r="C726" s="1"/>
    </row>
    <row r="727" spans="3:3" ht="15.75" customHeight="1" x14ac:dyDescent="0.35">
      <c r="C727" s="1"/>
    </row>
    <row r="728" spans="3:3" ht="15.75" customHeight="1" x14ac:dyDescent="0.35">
      <c r="C728" s="1"/>
    </row>
    <row r="729" spans="3:3" ht="15.75" customHeight="1" x14ac:dyDescent="0.35">
      <c r="C729" s="1"/>
    </row>
    <row r="730" spans="3:3" ht="15.75" customHeight="1" x14ac:dyDescent="0.35">
      <c r="C730" s="1"/>
    </row>
    <row r="731" spans="3:3" ht="15.75" customHeight="1" x14ac:dyDescent="0.35">
      <c r="C731" s="1"/>
    </row>
    <row r="732" spans="3:3" ht="15.75" customHeight="1" x14ac:dyDescent="0.35">
      <c r="C732" s="1"/>
    </row>
    <row r="733" spans="3:3" ht="15.75" customHeight="1" x14ac:dyDescent="0.35">
      <c r="C733" s="1"/>
    </row>
    <row r="734" spans="3:3" ht="15.75" customHeight="1" x14ac:dyDescent="0.35">
      <c r="C734" s="1"/>
    </row>
    <row r="735" spans="3:3" ht="15.75" customHeight="1" x14ac:dyDescent="0.35">
      <c r="C735" s="1"/>
    </row>
    <row r="736" spans="3:3" ht="15.75" customHeight="1" x14ac:dyDescent="0.35">
      <c r="C736" s="1"/>
    </row>
    <row r="737" spans="3:3" ht="15.75" customHeight="1" x14ac:dyDescent="0.35">
      <c r="C737" s="1"/>
    </row>
    <row r="738" spans="3:3" ht="15.75" customHeight="1" x14ac:dyDescent="0.35">
      <c r="C738" s="1"/>
    </row>
    <row r="739" spans="3:3" ht="15.75" customHeight="1" x14ac:dyDescent="0.35">
      <c r="C739" s="1"/>
    </row>
    <row r="740" spans="3:3" ht="15.75" customHeight="1" x14ac:dyDescent="0.35">
      <c r="C740" s="1"/>
    </row>
    <row r="741" spans="3:3" ht="15.75" customHeight="1" x14ac:dyDescent="0.35">
      <c r="C741" s="1"/>
    </row>
    <row r="742" spans="3:3" ht="15.75" customHeight="1" x14ac:dyDescent="0.35">
      <c r="C742" s="1"/>
    </row>
    <row r="743" spans="3:3" ht="15.75" customHeight="1" x14ac:dyDescent="0.35">
      <c r="C743" s="1"/>
    </row>
    <row r="744" spans="3:3" ht="15.75" customHeight="1" x14ac:dyDescent="0.35">
      <c r="C744" s="1"/>
    </row>
    <row r="745" spans="3:3" ht="15.75" customHeight="1" x14ac:dyDescent="0.35">
      <c r="C745" s="1"/>
    </row>
    <row r="746" spans="3:3" ht="15.75" customHeight="1" x14ac:dyDescent="0.35">
      <c r="C746" s="1"/>
    </row>
    <row r="747" spans="3:3" ht="15.75" customHeight="1" x14ac:dyDescent="0.35">
      <c r="C747" s="1"/>
    </row>
    <row r="748" spans="3:3" ht="15.75" customHeight="1" x14ac:dyDescent="0.35">
      <c r="C748" s="1"/>
    </row>
    <row r="749" spans="3:3" ht="15.75" customHeight="1" x14ac:dyDescent="0.35">
      <c r="C749" s="1"/>
    </row>
    <row r="750" spans="3:3" ht="15.75" customHeight="1" x14ac:dyDescent="0.35">
      <c r="C750" s="1"/>
    </row>
    <row r="751" spans="3:3" ht="15.75" customHeight="1" x14ac:dyDescent="0.35">
      <c r="C751" s="1"/>
    </row>
    <row r="752" spans="3:3" ht="15.75" customHeight="1" x14ac:dyDescent="0.35">
      <c r="C752" s="1"/>
    </row>
    <row r="753" spans="3:3" ht="15.75" customHeight="1" x14ac:dyDescent="0.35">
      <c r="C753" s="1"/>
    </row>
    <row r="754" spans="3:3" ht="15.75" customHeight="1" x14ac:dyDescent="0.35">
      <c r="C754" s="1"/>
    </row>
    <row r="755" spans="3:3" ht="15.75" customHeight="1" x14ac:dyDescent="0.35">
      <c r="C755" s="1"/>
    </row>
    <row r="756" spans="3:3" ht="15.75" customHeight="1" x14ac:dyDescent="0.35">
      <c r="C756" s="1"/>
    </row>
    <row r="757" spans="3:3" ht="15.75" customHeight="1" x14ac:dyDescent="0.35">
      <c r="C757" s="1"/>
    </row>
    <row r="758" spans="3:3" ht="15.75" customHeight="1" x14ac:dyDescent="0.35">
      <c r="C758" s="1"/>
    </row>
    <row r="759" spans="3:3" ht="15.75" customHeight="1" x14ac:dyDescent="0.35">
      <c r="C759" s="1"/>
    </row>
    <row r="760" spans="3:3" ht="15.75" customHeight="1" x14ac:dyDescent="0.35">
      <c r="C760" s="1"/>
    </row>
    <row r="761" spans="3:3" ht="15.75" customHeight="1" x14ac:dyDescent="0.35">
      <c r="C761" s="1"/>
    </row>
    <row r="762" spans="3:3" ht="15.75" customHeight="1" x14ac:dyDescent="0.35">
      <c r="C762" s="1"/>
    </row>
    <row r="763" spans="3:3" ht="15.75" customHeight="1" x14ac:dyDescent="0.35">
      <c r="C763" s="1"/>
    </row>
    <row r="764" spans="3:3" ht="15.75" customHeight="1" x14ac:dyDescent="0.35">
      <c r="C764" s="1"/>
    </row>
    <row r="765" spans="3:3" ht="15.75" customHeight="1" x14ac:dyDescent="0.35">
      <c r="C765" s="1"/>
    </row>
    <row r="766" spans="3:3" ht="15.75" customHeight="1" x14ac:dyDescent="0.35">
      <c r="C766" s="1"/>
    </row>
    <row r="767" spans="3:3" ht="15.75" customHeight="1" x14ac:dyDescent="0.35">
      <c r="C767" s="1"/>
    </row>
    <row r="768" spans="3:3" ht="15.75" customHeight="1" x14ac:dyDescent="0.35">
      <c r="C768" s="1"/>
    </row>
    <row r="769" spans="3:3" ht="15.75" customHeight="1" x14ac:dyDescent="0.35">
      <c r="C769" s="1"/>
    </row>
    <row r="770" spans="3:3" ht="15.75" customHeight="1" x14ac:dyDescent="0.35">
      <c r="C770" s="1"/>
    </row>
    <row r="771" spans="3:3" ht="15.75" customHeight="1" x14ac:dyDescent="0.35">
      <c r="C771" s="1"/>
    </row>
    <row r="772" spans="3:3" ht="15.75" customHeight="1" x14ac:dyDescent="0.35">
      <c r="C772" s="1"/>
    </row>
    <row r="773" spans="3:3" ht="15.75" customHeight="1" x14ac:dyDescent="0.35">
      <c r="C773" s="1"/>
    </row>
    <row r="774" spans="3:3" ht="15.75" customHeight="1" x14ac:dyDescent="0.35">
      <c r="C774" s="1"/>
    </row>
    <row r="775" spans="3:3" ht="15.75" customHeight="1" x14ac:dyDescent="0.35">
      <c r="C775" s="1"/>
    </row>
    <row r="776" spans="3:3" ht="15.75" customHeight="1" x14ac:dyDescent="0.35">
      <c r="C776" s="1"/>
    </row>
    <row r="777" spans="3:3" ht="15.75" customHeight="1" x14ac:dyDescent="0.35">
      <c r="C777" s="1"/>
    </row>
    <row r="778" spans="3:3" ht="15.75" customHeight="1" x14ac:dyDescent="0.35">
      <c r="C778" s="1"/>
    </row>
    <row r="779" spans="3:3" ht="15.75" customHeight="1" x14ac:dyDescent="0.35">
      <c r="C779" s="1"/>
    </row>
    <row r="780" spans="3:3" ht="15.75" customHeight="1" x14ac:dyDescent="0.35">
      <c r="C780" s="1"/>
    </row>
    <row r="781" spans="3:3" ht="15.75" customHeight="1" x14ac:dyDescent="0.35">
      <c r="C781" s="1"/>
    </row>
    <row r="782" spans="3:3" ht="15.75" customHeight="1" x14ac:dyDescent="0.35">
      <c r="C782" s="1"/>
    </row>
    <row r="783" spans="3:3" ht="15.75" customHeight="1" x14ac:dyDescent="0.35">
      <c r="C783" s="1"/>
    </row>
    <row r="784" spans="3:3" ht="15.75" customHeight="1" x14ac:dyDescent="0.35">
      <c r="C784" s="1"/>
    </row>
    <row r="785" spans="3:3" ht="15.75" customHeight="1" x14ac:dyDescent="0.35">
      <c r="C785" s="1"/>
    </row>
    <row r="786" spans="3:3" ht="15.75" customHeight="1" x14ac:dyDescent="0.35">
      <c r="C786" s="1"/>
    </row>
    <row r="787" spans="3:3" ht="15.75" customHeight="1" x14ac:dyDescent="0.35">
      <c r="C787" s="1"/>
    </row>
    <row r="788" spans="3:3" ht="15.75" customHeight="1" x14ac:dyDescent="0.35">
      <c r="C788" s="1"/>
    </row>
    <row r="789" spans="3:3" ht="15.75" customHeight="1" x14ac:dyDescent="0.35">
      <c r="C789" s="1"/>
    </row>
    <row r="790" spans="3:3" ht="15.75" customHeight="1" x14ac:dyDescent="0.35">
      <c r="C790" s="1"/>
    </row>
    <row r="791" spans="3:3" ht="15.75" customHeight="1" x14ac:dyDescent="0.35">
      <c r="C791" s="1"/>
    </row>
    <row r="792" spans="3:3" ht="15.75" customHeight="1" x14ac:dyDescent="0.35">
      <c r="C792" s="1"/>
    </row>
    <row r="793" spans="3:3" ht="15.75" customHeight="1" x14ac:dyDescent="0.35">
      <c r="C793" s="1"/>
    </row>
    <row r="794" spans="3:3" ht="15.75" customHeight="1" x14ac:dyDescent="0.35">
      <c r="C794" s="1"/>
    </row>
    <row r="795" spans="3:3" ht="15.75" customHeight="1" x14ac:dyDescent="0.35">
      <c r="C795" s="1"/>
    </row>
    <row r="796" spans="3:3" ht="15.75" customHeight="1" x14ac:dyDescent="0.35">
      <c r="C796" s="1"/>
    </row>
    <row r="797" spans="3:3" ht="15.75" customHeight="1" x14ac:dyDescent="0.35">
      <c r="C797" s="1"/>
    </row>
    <row r="798" spans="3:3" ht="15.75" customHeight="1" x14ac:dyDescent="0.35">
      <c r="C798" s="1"/>
    </row>
    <row r="799" spans="3:3" ht="15.75" customHeight="1" x14ac:dyDescent="0.35">
      <c r="C799" s="1"/>
    </row>
    <row r="800" spans="3:3" ht="15.75" customHeight="1" x14ac:dyDescent="0.35">
      <c r="C800" s="1"/>
    </row>
    <row r="801" spans="3:3" ht="15.75" customHeight="1" x14ac:dyDescent="0.35">
      <c r="C801" s="1"/>
    </row>
    <row r="802" spans="3:3" ht="15.75" customHeight="1" x14ac:dyDescent="0.35">
      <c r="C802" s="1"/>
    </row>
    <row r="803" spans="3:3" ht="15.75" customHeight="1" x14ac:dyDescent="0.35">
      <c r="C803" s="1"/>
    </row>
    <row r="804" spans="3:3" ht="15.75" customHeight="1" x14ac:dyDescent="0.35">
      <c r="C804" s="1"/>
    </row>
    <row r="805" spans="3:3" ht="15.75" customHeight="1" x14ac:dyDescent="0.35">
      <c r="C805" s="1"/>
    </row>
    <row r="806" spans="3:3" ht="15.75" customHeight="1" x14ac:dyDescent="0.35">
      <c r="C806" s="1"/>
    </row>
    <row r="807" spans="3:3" ht="15.75" customHeight="1" x14ac:dyDescent="0.35">
      <c r="C807" s="1"/>
    </row>
    <row r="808" spans="3:3" ht="15.75" customHeight="1" x14ac:dyDescent="0.35">
      <c r="C808" s="1"/>
    </row>
    <row r="809" spans="3:3" ht="15.75" customHeight="1" x14ac:dyDescent="0.35">
      <c r="C809" s="1"/>
    </row>
    <row r="810" spans="3:3" ht="15.75" customHeight="1" x14ac:dyDescent="0.35">
      <c r="C810" s="1"/>
    </row>
    <row r="811" spans="3:3" ht="15.75" customHeight="1" x14ac:dyDescent="0.35">
      <c r="C811" s="1"/>
    </row>
    <row r="812" spans="3:3" ht="15.75" customHeight="1" x14ac:dyDescent="0.35">
      <c r="C812" s="1"/>
    </row>
    <row r="813" spans="3:3" ht="15.75" customHeight="1" x14ac:dyDescent="0.35">
      <c r="C813" s="1"/>
    </row>
    <row r="814" spans="3:3" ht="15.75" customHeight="1" x14ac:dyDescent="0.35">
      <c r="C814" s="1"/>
    </row>
    <row r="815" spans="3:3" ht="15.75" customHeight="1" x14ac:dyDescent="0.35">
      <c r="C815" s="1"/>
    </row>
    <row r="816" spans="3:3" ht="15.75" customHeight="1" x14ac:dyDescent="0.35">
      <c r="C816" s="1"/>
    </row>
    <row r="817" spans="3:3" ht="15.75" customHeight="1" x14ac:dyDescent="0.35">
      <c r="C817" s="1"/>
    </row>
    <row r="818" spans="3:3" ht="15.75" customHeight="1" x14ac:dyDescent="0.35">
      <c r="C818" s="1"/>
    </row>
    <row r="819" spans="3:3" ht="15.75" customHeight="1" x14ac:dyDescent="0.35">
      <c r="C819" s="1"/>
    </row>
    <row r="820" spans="3:3" ht="15.75" customHeight="1" x14ac:dyDescent="0.35">
      <c r="C820" s="1"/>
    </row>
    <row r="821" spans="3:3" ht="15.75" customHeight="1" x14ac:dyDescent="0.35">
      <c r="C821" s="1"/>
    </row>
    <row r="822" spans="3:3" ht="15.75" customHeight="1" x14ac:dyDescent="0.35">
      <c r="C822" s="1"/>
    </row>
    <row r="823" spans="3:3" ht="15.75" customHeight="1" x14ac:dyDescent="0.35">
      <c r="C823" s="1"/>
    </row>
    <row r="824" spans="3:3" ht="15.75" customHeight="1" x14ac:dyDescent="0.35">
      <c r="C824" s="1"/>
    </row>
    <row r="825" spans="3:3" ht="15.75" customHeight="1" x14ac:dyDescent="0.35">
      <c r="C825" s="1"/>
    </row>
    <row r="826" spans="3:3" ht="15.75" customHeight="1" x14ac:dyDescent="0.35">
      <c r="C826" s="1"/>
    </row>
    <row r="827" spans="3:3" ht="15.75" customHeight="1" x14ac:dyDescent="0.35">
      <c r="C827" s="1"/>
    </row>
    <row r="828" spans="3:3" ht="15.75" customHeight="1" x14ac:dyDescent="0.35">
      <c r="C828" s="1"/>
    </row>
    <row r="829" spans="3:3" ht="15.75" customHeight="1" x14ac:dyDescent="0.35">
      <c r="C829" s="1"/>
    </row>
    <row r="830" spans="3:3" ht="15.75" customHeight="1" x14ac:dyDescent="0.35">
      <c r="C830" s="1"/>
    </row>
    <row r="831" spans="3:3" ht="15.75" customHeight="1" x14ac:dyDescent="0.35">
      <c r="C831" s="1"/>
    </row>
    <row r="832" spans="3:3" ht="15.75" customHeight="1" x14ac:dyDescent="0.35">
      <c r="C832" s="1"/>
    </row>
    <row r="833" spans="3:3" ht="15.75" customHeight="1" x14ac:dyDescent="0.35">
      <c r="C833" s="1"/>
    </row>
    <row r="834" spans="3:3" ht="15.75" customHeight="1" x14ac:dyDescent="0.35">
      <c r="C834" s="1"/>
    </row>
    <row r="835" spans="3:3" ht="15.75" customHeight="1" x14ac:dyDescent="0.35">
      <c r="C835" s="1"/>
    </row>
    <row r="836" spans="3:3" ht="15.75" customHeight="1" x14ac:dyDescent="0.35">
      <c r="C836" s="1"/>
    </row>
    <row r="837" spans="3:3" ht="15.75" customHeight="1" x14ac:dyDescent="0.35">
      <c r="C837" s="1"/>
    </row>
    <row r="838" spans="3:3" ht="15.75" customHeight="1" x14ac:dyDescent="0.35">
      <c r="C838" s="1"/>
    </row>
    <row r="839" spans="3:3" ht="15.75" customHeight="1" x14ac:dyDescent="0.35">
      <c r="C839" s="1"/>
    </row>
    <row r="840" spans="3:3" ht="15.75" customHeight="1" x14ac:dyDescent="0.35">
      <c r="C840" s="1"/>
    </row>
    <row r="841" spans="3:3" ht="15.75" customHeight="1" x14ac:dyDescent="0.35">
      <c r="C841" s="1"/>
    </row>
    <row r="842" spans="3:3" ht="15.75" customHeight="1" x14ac:dyDescent="0.35">
      <c r="C842" s="1"/>
    </row>
    <row r="843" spans="3:3" ht="15.75" customHeight="1" x14ac:dyDescent="0.35">
      <c r="C843" s="1"/>
    </row>
    <row r="844" spans="3:3" ht="15.75" customHeight="1" x14ac:dyDescent="0.35">
      <c r="C844" s="1"/>
    </row>
    <row r="845" spans="3:3" ht="15.75" customHeight="1" x14ac:dyDescent="0.35">
      <c r="C845" s="1"/>
    </row>
    <row r="846" spans="3:3" ht="15.75" customHeight="1" x14ac:dyDescent="0.35">
      <c r="C846" s="1"/>
    </row>
    <row r="847" spans="3:3" ht="15.75" customHeight="1" x14ac:dyDescent="0.35">
      <c r="C847" s="1"/>
    </row>
    <row r="848" spans="3:3" ht="15.75" customHeight="1" x14ac:dyDescent="0.35">
      <c r="C848" s="1"/>
    </row>
    <row r="849" spans="3:3" ht="15.75" customHeight="1" x14ac:dyDescent="0.35">
      <c r="C849" s="1"/>
    </row>
    <row r="850" spans="3:3" ht="15.75" customHeight="1" x14ac:dyDescent="0.35">
      <c r="C850" s="1"/>
    </row>
    <row r="851" spans="3:3" ht="15.75" customHeight="1" x14ac:dyDescent="0.35">
      <c r="C851" s="1"/>
    </row>
    <row r="852" spans="3:3" ht="15.75" customHeight="1" x14ac:dyDescent="0.35">
      <c r="C852" s="1"/>
    </row>
    <row r="853" spans="3:3" ht="15.75" customHeight="1" x14ac:dyDescent="0.35">
      <c r="C853" s="1"/>
    </row>
    <row r="854" spans="3:3" ht="15.75" customHeight="1" x14ac:dyDescent="0.35">
      <c r="C854" s="1"/>
    </row>
    <row r="855" spans="3:3" ht="15.75" customHeight="1" x14ac:dyDescent="0.35">
      <c r="C855" s="1"/>
    </row>
    <row r="856" spans="3:3" ht="15.75" customHeight="1" x14ac:dyDescent="0.35">
      <c r="C856" s="1"/>
    </row>
    <row r="857" spans="3:3" ht="15.75" customHeight="1" x14ac:dyDescent="0.35">
      <c r="C857" s="1"/>
    </row>
    <row r="858" spans="3:3" ht="15.75" customHeight="1" x14ac:dyDescent="0.35">
      <c r="C858" s="1"/>
    </row>
    <row r="859" spans="3:3" ht="15.75" customHeight="1" x14ac:dyDescent="0.35">
      <c r="C859" s="1"/>
    </row>
    <row r="860" spans="3:3" ht="15.75" customHeight="1" x14ac:dyDescent="0.35">
      <c r="C860" s="1"/>
    </row>
    <row r="861" spans="3:3" ht="15.75" customHeight="1" x14ac:dyDescent="0.35">
      <c r="C861" s="1"/>
    </row>
    <row r="862" spans="3:3" ht="15.75" customHeight="1" x14ac:dyDescent="0.35">
      <c r="C862" s="1"/>
    </row>
    <row r="863" spans="3:3" ht="15.75" customHeight="1" x14ac:dyDescent="0.35">
      <c r="C863" s="1"/>
    </row>
    <row r="864" spans="3:3" ht="15.75" customHeight="1" x14ac:dyDescent="0.35">
      <c r="C864" s="1"/>
    </row>
    <row r="865" spans="3:3" ht="15.75" customHeight="1" x14ac:dyDescent="0.35">
      <c r="C865" s="1"/>
    </row>
    <row r="866" spans="3:3" ht="15.75" customHeight="1" x14ac:dyDescent="0.35">
      <c r="C866" s="1"/>
    </row>
    <row r="867" spans="3:3" ht="15.75" customHeight="1" x14ac:dyDescent="0.35">
      <c r="C867" s="1"/>
    </row>
    <row r="868" spans="3:3" ht="15.75" customHeight="1" x14ac:dyDescent="0.35">
      <c r="C868" s="1"/>
    </row>
    <row r="869" spans="3:3" ht="15.75" customHeight="1" x14ac:dyDescent="0.35">
      <c r="C869" s="1"/>
    </row>
    <row r="870" spans="3:3" ht="15.75" customHeight="1" x14ac:dyDescent="0.35">
      <c r="C870" s="1"/>
    </row>
    <row r="871" spans="3:3" ht="15.75" customHeight="1" x14ac:dyDescent="0.35">
      <c r="C871" s="1"/>
    </row>
    <row r="872" spans="3:3" ht="15.75" customHeight="1" x14ac:dyDescent="0.35">
      <c r="C872" s="1"/>
    </row>
    <row r="873" spans="3:3" ht="15.75" customHeight="1" x14ac:dyDescent="0.35">
      <c r="C873" s="1"/>
    </row>
    <row r="874" spans="3:3" ht="15.75" customHeight="1" x14ac:dyDescent="0.35">
      <c r="C874" s="1"/>
    </row>
    <row r="875" spans="3:3" ht="15.75" customHeight="1" x14ac:dyDescent="0.35">
      <c r="C875" s="1"/>
    </row>
    <row r="876" spans="3:3" ht="15.75" customHeight="1" x14ac:dyDescent="0.35">
      <c r="C876" s="1"/>
    </row>
    <row r="877" spans="3:3" ht="15.75" customHeight="1" x14ac:dyDescent="0.35">
      <c r="C877" s="1"/>
    </row>
    <row r="878" spans="3:3" ht="15.75" customHeight="1" x14ac:dyDescent="0.35">
      <c r="C878" s="1"/>
    </row>
    <row r="879" spans="3:3" ht="15.75" customHeight="1" x14ac:dyDescent="0.35">
      <c r="C879" s="1"/>
    </row>
    <row r="880" spans="3:3" ht="15.75" customHeight="1" x14ac:dyDescent="0.35">
      <c r="C880" s="1"/>
    </row>
    <row r="881" spans="3:3" ht="15.75" customHeight="1" x14ac:dyDescent="0.35">
      <c r="C881" s="1"/>
    </row>
    <row r="882" spans="3:3" ht="15.75" customHeight="1" x14ac:dyDescent="0.35">
      <c r="C882" s="1"/>
    </row>
    <row r="883" spans="3:3" ht="15.75" customHeight="1" x14ac:dyDescent="0.35">
      <c r="C883" s="1"/>
    </row>
    <row r="884" spans="3:3" ht="15.75" customHeight="1" x14ac:dyDescent="0.35">
      <c r="C884" s="1"/>
    </row>
    <row r="885" spans="3:3" ht="15.75" customHeight="1" x14ac:dyDescent="0.35">
      <c r="C885" s="1"/>
    </row>
    <row r="886" spans="3:3" ht="15.75" customHeight="1" x14ac:dyDescent="0.35">
      <c r="C886" s="1"/>
    </row>
    <row r="887" spans="3:3" ht="15.75" customHeight="1" x14ac:dyDescent="0.35">
      <c r="C887" s="1"/>
    </row>
    <row r="888" spans="3:3" ht="15.75" customHeight="1" x14ac:dyDescent="0.35">
      <c r="C888" s="1"/>
    </row>
    <row r="889" spans="3:3" ht="15.75" customHeight="1" x14ac:dyDescent="0.35">
      <c r="C889" s="1"/>
    </row>
    <row r="890" spans="3:3" ht="15.75" customHeight="1" x14ac:dyDescent="0.35">
      <c r="C890" s="1"/>
    </row>
    <row r="891" spans="3:3" ht="15.75" customHeight="1" x14ac:dyDescent="0.35">
      <c r="C891" s="1"/>
    </row>
    <row r="892" spans="3:3" ht="15.75" customHeight="1" x14ac:dyDescent="0.35">
      <c r="C892" s="1"/>
    </row>
    <row r="893" spans="3:3" ht="15.75" customHeight="1" x14ac:dyDescent="0.35">
      <c r="C893" s="1"/>
    </row>
    <row r="894" spans="3:3" ht="15.75" customHeight="1" x14ac:dyDescent="0.35">
      <c r="C894" s="1"/>
    </row>
    <row r="895" spans="3:3" ht="15.75" customHeight="1" x14ac:dyDescent="0.35">
      <c r="C895" s="1"/>
    </row>
    <row r="896" spans="3:3" ht="15.75" customHeight="1" x14ac:dyDescent="0.35">
      <c r="C896" s="1"/>
    </row>
    <row r="897" spans="3:3" ht="15.75" customHeight="1" x14ac:dyDescent="0.35">
      <c r="C897" s="1"/>
    </row>
    <row r="898" spans="3:3" ht="15.75" customHeight="1" x14ac:dyDescent="0.35">
      <c r="C898" s="1"/>
    </row>
    <row r="899" spans="3:3" ht="15.75" customHeight="1" x14ac:dyDescent="0.35">
      <c r="C899" s="1"/>
    </row>
    <row r="900" spans="3:3" ht="15.75" customHeight="1" x14ac:dyDescent="0.35">
      <c r="C900" s="1"/>
    </row>
    <row r="901" spans="3:3" ht="15.75" customHeight="1" x14ac:dyDescent="0.35">
      <c r="C901" s="1"/>
    </row>
    <row r="902" spans="3:3" ht="15.75" customHeight="1" x14ac:dyDescent="0.35">
      <c r="C902" s="1"/>
    </row>
    <row r="903" spans="3:3" ht="15.75" customHeight="1" x14ac:dyDescent="0.35">
      <c r="C903" s="1"/>
    </row>
    <row r="904" spans="3:3" ht="15.75" customHeight="1" x14ac:dyDescent="0.35">
      <c r="C904" s="1"/>
    </row>
    <row r="905" spans="3:3" ht="15.75" customHeight="1" x14ac:dyDescent="0.35">
      <c r="C905" s="1"/>
    </row>
    <row r="906" spans="3:3" ht="15.75" customHeight="1" x14ac:dyDescent="0.35">
      <c r="C906" s="1"/>
    </row>
    <row r="907" spans="3:3" ht="15.75" customHeight="1" x14ac:dyDescent="0.35">
      <c r="C907" s="1"/>
    </row>
    <row r="908" spans="3:3" ht="15.75" customHeight="1" x14ac:dyDescent="0.35">
      <c r="C908" s="1"/>
    </row>
    <row r="909" spans="3:3" ht="15.75" customHeight="1" x14ac:dyDescent="0.35">
      <c r="C909" s="1"/>
    </row>
    <row r="910" spans="3:3" ht="15.75" customHeight="1" x14ac:dyDescent="0.35">
      <c r="C910" s="1"/>
    </row>
    <row r="911" spans="3:3" ht="15.75" customHeight="1" x14ac:dyDescent="0.35">
      <c r="C911" s="1"/>
    </row>
    <row r="912" spans="3:3" ht="15.75" customHeight="1" x14ac:dyDescent="0.35">
      <c r="C912" s="1"/>
    </row>
    <row r="913" spans="3:3" ht="15.75" customHeight="1" x14ac:dyDescent="0.35">
      <c r="C913" s="1"/>
    </row>
    <row r="914" spans="3:3" ht="15.75" customHeight="1" x14ac:dyDescent="0.35">
      <c r="C914" s="1"/>
    </row>
    <row r="915" spans="3:3" ht="15.75" customHeight="1" x14ac:dyDescent="0.35">
      <c r="C915" s="1"/>
    </row>
    <row r="916" spans="3:3" ht="15.75" customHeight="1" x14ac:dyDescent="0.35">
      <c r="C916" s="1"/>
    </row>
    <row r="917" spans="3:3" ht="15.75" customHeight="1" x14ac:dyDescent="0.35">
      <c r="C917" s="1"/>
    </row>
    <row r="918" spans="3:3" ht="15.75" customHeight="1" x14ac:dyDescent="0.35">
      <c r="C918" s="1"/>
    </row>
    <row r="919" spans="3:3" ht="15.75" customHeight="1" x14ac:dyDescent="0.35">
      <c r="C919" s="1"/>
    </row>
    <row r="920" spans="3:3" ht="15.75" customHeight="1" x14ac:dyDescent="0.35">
      <c r="C920" s="1"/>
    </row>
    <row r="921" spans="3:3" ht="15.75" customHeight="1" x14ac:dyDescent="0.35">
      <c r="C921" s="1"/>
    </row>
    <row r="922" spans="3:3" ht="15.75" customHeight="1" x14ac:dyDescent="0.35">
      <c r="C922" s="1"/>
    </row>
    <row r="923" spans="3:3" ht="15.75" customHeight="1" x14ac:dyDescent="0.35">
      <c r="C923" s="1"/>
    </row>
    <row r="924" spans="3:3" ht="15.75" customHeight="1" x14ac:dyDescent="0.35">
      <c r="C924" s="1"/>
    </row>
    <row r="925" spans="3:3" ht="15.75" customHeight="1" x14ac:dyDescent="0.35">
      <c r="C925" s="1"/>
    </row>
    <row r="926" spans="3:3" ht="15.75" customHeight="1" x14ac:dyDescent="0.35">
      <c r="C926" s="1"/>
    </row>
    <row r="927" spans="3:3" ht="15.75" customHeight="1" x14ac:dyDescent="0.35">
      <c r="C927" s="1"/>
    </row>
    <row r="928" spans="3:3" ht="15.75" customHeight="1" x14ac:dyDescent="0.35">
      <c r="C928" s="1"/>
    </row>
    <row r="929" spans="3:3" ht="15.75" customHeight="1" x14ac:dyDescent="0.35">
      <c r="C929" s="1"/>
    </row>
    <row r="930" spans="3:3" ht="15.75" customHeight="1" x14ac:dyDescent="0.35">
      <c r="C930" s="1"/>
    </row>
    <row r="931" spans="3:3" ht="15.75" customHeight="1" x14ac:dyDescent="0.35">
      <c r="C931" s="1"/>
    </row>
    <row r="932" spans="3:3" ht="15.75" customHeight="1" x14ac:dyDescent="0.35">
      <c r="C932" s="1"/>
    </row>
    <row r="933" spans="3:3" ht="15.75" customHeight="1" x14ac:dyDescent="0.35">
      <c r="C933" s="1"/>
    </row>
    <row r="934" spans="3:3" ht="15.75" customHeight="1" x14ac:dyDescent="0.35">
      <c r="C934" s="1"/>
    </row>
    <row r="935" spans="3:3" ht="15.75" customHeight="1" x14ac:dyDescent="0.35">
      <c r="C935" s="1"/>
    </row>
    <row r="936" spans="3:3" ht="15.75" customHeight="1" x14ac:dyDescent="0.35">
      <c r="C936" s="1"/>
    </row>
    <row r="937" spans="3:3" ht="15.75" customHeight="1" x14ac:dyDescent="0.35">
      <c r="C937" s="1"/>
    </row>
    <row r="938" spans="3:3" ht="15.75" customHeight="1" x14ac:dyDescent="0.35">
      <c r="C938" s="1"/>
    </row>
    <row r="939" spans="3:3" ht="15.75" customHeight="1" x14ac:dyDescent="0.35">
      <c r="C939" s="1"/>
    </row>
    <row r="940" spans="3:3" ht="15.75" customHeight="1" x14ac:dyDescent="0.35">
      <c r="C940" s="1"/>
    </row>
    <row r="941" spans="3:3" ht="15.75" customHeight="1" x14ac:dyDescent="0.35">
      <c r="C941" s="1"/>
    </row>
    <row r="942" spans="3:3" ht="15.75" customHeight="1" x14ac:dyDescent="0.35">
      <c r="C942" s="1"/>
    </row>
    <row r="943" spans="3:3" ht="15.75" customHeight="1" x14ac:dyDescent="0.35">
      <c r="C943" s="1"/>
    </row>
    <row r="944" spans="3:3" ht="15.75" customHeight="1" x14ac:dyDescent="0.35">
      <c r="C944" s="1"/>
    </row>
    <row r="945" spans="3:3" ht="15.75" customHeight="1" x14ac:dyDescent="0.35">
      <c r="C945" s="1"/>
    </row>
    <row r="946" spans="3:3" ht="15.75" customHeight="1" x14ac:dyDescent="0.35">
      <c r="C946" s="1"/>
    </row>
    <row r="947" spans="3:3" ht="15.75" customHeight="1" x14ac:dyDescent="0.35">
      <c r="C947" s="1"/>
    </row>
    <row r="948" spans="3:3" ht="15.75" customHeight="1" x14ac:dyDescent="0.35">
      <c r="C948" s="1"/>
    </row>
    <row r="949" spans="3:3" ht="15.75" customHeight="1" x14ac:dyDescent="0.35">
      <c r="C949" s="1"/>
    </row>
    <row r="950" spans="3:3" ht="15.75" customHeight="1" x14ac:dyDescent="0.35">
      <c r="C950" s="1"/>
    </row>
    <row r="951" spans="3:3" ht="15.75" customHeight="1" x14ac:dyDescent="0.35">
      <c r="C951" s="1"/>
    </row>
    <row r="952" spans="3:3" ht="15.75" customHeight="1" x14ac:dyDescent="0.35">
      <c r="C952" s="1"/>
    </row>
    <row r="953" spans="3:3" ht="15.75" customHeight="1" x14ac:dyDescent="0.35">
      <c r="C953" s="1"/>
    </row>
    <row r="954" spans="3:3" ht="15.75" customHeight="1" x14ac:dyDescent="0.35">
      <c r="C954" s="1"/>
    </row>
    <row r="955" spans="3:3" ht="15.75" customHeight="1" x14ac:dyDescent="0.35">
      <c r="C955" s="1"/>
    </row>
    <row r="956" spans="3:3" ht="15.75" customHeight="1" x14ac:dyDescent="0.35">
      <c r="C956" s="1"/>
    </row>
    <row r="957" spans="3:3" ht="15.75" customHeight="1" x14ac:dyDescent="0.35">
      <c r="C957" s="1"/>
    </row>
    <row r="958" spans="3:3" ht="15.75" customHeight="1" x14ac:dyDescent="0.35">
      <c r="C958" s="1"/>
    </row>
    <row r="959" spans="3:3" ht="15.75" customHeight="1" x14ac:dyDescent="0.35">
      <c r="C959" s="1"/>
    </row>
    <row r="960" spans="3:3" ht="15.75" customHeight="1" x14ac:dyDescent="0.35">
      <c r="C960" s="1"/>
    </row>
    <row r="961" spans="3:3" ht="15.75" customHeight="1" x14ac:dyDescent="0.35">
      <c r="C961" s="1"/>
    </row>
    <row r="962" spans="3:3" ht="15.75" customHeight="1" x14ac:dyDescent="0.35">
      <c r="C962" s="1"/>
    </row>
    <row r="963" spans="3:3" ht="15.75" customHeight="1" x14ac:dyDescent="0.35">
      <c r="C963" s="1"/>
    </row>
    <row r="964" spans="3:3" ht="15.75" customHeight="1" x14ac:dyDescent="0.35">
      <c r="C964" s="1"/>
    </row>
    <row r="965" spans="3:3" ht="15.75" customHeight="1" x14ac:dyDescent="0.35">
      <c r="C965" s="1"/>
    </row>
    <row r="966" spans="3:3" ht="15.75" customHeight="1" x14ac:dyDescent="0.35">
      <c r="C966" s="1"/>
    </row>
    <row r="967" spans="3:3" ht="15.75" customHeight="1" x14ac:dyDescent="0.35">
      <c r="C967" s="1"/>
    </row>
    <row r="968" spans="3:3" ht="15.75" customHeight="1" x14ac:dyDescent="0.35">
      <c r="C968" s="1"/>
    </row>
    <row r="969" spans="3:3" ht="15.75" customHeight="1" x14ac:dyDescent="0.35">
      <c r="C969" s="1"/>
    </row>
    <row r="970" spans="3:3" ht="15.75" customHeight="1" x14ac:dyDescent="0.35">
      <c r="C970" s="1"/>
    </row>
    <row r="971" spans="3:3" ht="15.75" customHeight="1" x14ac:dyDescent="0.35">
      <c r="C971" s="1"/>
    </row>
    <row r="972" spans="3:3" ht="15.75" customHeight="1" x14ac:dyDescent="0.35">
      <c r="C972" s="1"/>
    </row>
    <row r="973" spans="3:3" ht="15.75" customHeight="1" x14ac:dyDescent="0.35">
      <c r="C973" s="1"/>
    </row>
    <row r="974" spans="3:3" ht="15.75" customHeight="1" x14ac:dyDescent="0.35">
      <c r="C974" s="1"/>
    </row>
    <row r="975" spans="3:3" ht="15.75" customHeight="1" x14ac:dyDescent="0.35">
      <c r="C975" s="1"/>
    </row>
    <row r="976" spans="3:3" ht="15.75" customHeight="1" x14ac:dyDescent="0.35">
      <c r="C976" s="1"/>
    </row>
    <row r="977" spans="3:3" ht="15.75" customHeight="1" x14ac:dyDescent="0.35">
      <c r="C977" s="1"/>
    </row>
    <row r="978" spans="3:3" ht="15.75" customHeight="1" x14ac:dyDescent="0.35">
      <c r="C978" s="1"/>
    </row>
    <row r="979" spans="3:3" ht="15.75" customHeight="1" x14ac:dyDescent="0.35">
      <c r="C979" s="1"/>
    </row>
    <row r="980" spans="3:3" ht="15.75" customHeight="1" x14ac:dyDescent="0.35">
      <c r="C980" s="1"/>
    </row>
    <row r="981" spans="3:3" ht="15.75" customHeight="1" x14ac:dyDescent="0.35">
      <c r="C981" s="1"/>
    </row>
    <row r="982" spans="3:3" ht="15.75" customHeight="1" x14ac:dyDescent="0.35">
      <c r="C982" s="1"/>
    </row>
    <row r="983" spans="3:3" ht="15.75" customHeight="1" x14ac:dyDescent="0.35">
      <c r="C983" s="1"/>
    </row>
    <row r="984" spans="3:3" ht="15.75" customHeight="1" x14ac:dyDescent="0.35">
      <c r="C984" s="1"/>
    </row>
    <row r="985" spans="3:3" ht="15.75" customHeight="1" x14ac:dyDescent="0.35">
      <c r="C985" s="1"/>
    </row>
    <row r="986" spans="3:3" ht="15.75" customHeight="1" x14ac:dyDescent="0.35">
      <c r="C986" s="1"/>
    </row>
    <row r="987" spans="3:3" ht="15.75" customHeight="1" x14ac:dyDescent="0.35">
      <c r="C987" s="1"/>
    </row>
    <row r="988" spans="3:3" ht="15.75" customHeight="1" x14ac:dyDescent="0.35">
      <c r="C988" s="1"/>
    </row>
    <row r="989" spans="3:3" ht="15.75" customHeight="1" x14ac:dyDescent="0.35">
      <c r="C989" s="1"/>
    </row>
    <row r="990" spans="3:3" ht="15.75" customHeight="1" x14ac:dyDescent="0.35">
      <c r="C990" s="1"/>
    </row>
    <row r="991" spans="3:3" ht="15.75" customHeight="1" x14ac:dyDescent="0.35">
      <c r="C991" s="1"/>
    </row>
    <row r="992" spans="3:3" ht="15.75" customHeight="1" x14ac:dyDescent="0.35">
      <c r="C992" s="1"/>
    </row>
    <row r="993" spans="3:3" ht="15.75" customHeight="1" x14ac:dyDescent="0.35">
      <c r="C993" s="1"/>
    </row>
    <row r="994" spans="3:3" ht="15.75" customHeight="1" x14ac:dyDescent="0.35">
      <c r="C994" s="1"/>
    </row>
    <row r="995" spans="3:3" ht="15.75" customHeight="1" x14ac:dyDescent="0.35">
      <c r="C995" s="1"/>
    </row>
    <row r="996" spans="3:3" ht="15.75" customHeight="1" x14ac:dyDescent="0.35">
      <c r="C996" s="1"/>
    </row>
    <row r="997" spans="3:3" ht="15.75" customHeight="1" x14ac:dyDescent="0.35">
      <c r="C997" s="1"/>
    </row>
    <row r="998" spans="3:3" ht="15.75" customHeight="1" x14ac:dyDescent="0.35">
      <c r="C998" s="1"/>
    </row>
    <row r="999" spans="3:3" ht="15.75" customHeight="1" x14ac:dyDescent="0.35">
      <c r="C999" s="1"/>
    </row>
    <row r="1000" spans="3:3" ht="15.75" customHeight="1" x14ac:dyDescent="0.35">
      <c r="C1000" s="1"/>
    </row>
    <row r="1001" spans="3:3" ht="15.75" customHeight="1" x14ac:dyDescent="0.35">
      <c r="C1001" s="1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27"/>
  <sheetViews>
    <sheetView workbookViewId="0"/>
  </sheetViews>
  <sheetFormatPr defaultColWidth="11.25" defaultRowHeight="15" customHeight="1" x14ac:dyDescent="0.35"/>
  <cols>
    <col min="1" max="1" width="29.58203125" customWidth="1"/>
    <col min="2" max="2" width="13.33203125" customWidth="1"/>
    <col min="3" max="3" width="15.08203125" customWidth="1"/>
    <col min="4" max="4" width="13.5" customWidth="1"/>
    <col min="5" max="5" width="31.25" customWidth="1"/>
    <col min="6" max="6" width="10.5" customWidth="1"/>
    <col min="7" max="7" width="11.75" customWidth="1"/>
    <col min="8" max="8" width="10.5" customWidth="1"/>
    <col min="9" max="9" width="27.5" customWidth="1"/>
    <col min="10" max="26" width="10.5" customWidth="1"/>
  </cols>
  <sheetData>
    <row r="1" spans="1:4" ht="15.75" customHeight="1" x14ac:dyDescent="0.35">
      <c r="A1" s="96" t="s">
        <v>35</v>
      </c>
    </row>
    <row r="2" spans="1:4" ht="15.75" customHeight="1" x14ac:dyDescent="0.35">
      <c r="A2" s="2" t="str">
        <f>'Main hypotheses'!B2</f>
        <v>Element</v>
      </c>
      <c r="B2" s="3" t="str">
        <f>'Main hypotheses'!C2</f>
        <v>Yearly Amount</v>
      </c>
      <c r="C2" s="96" t="s">
        <v>36</v>
      </c>
      <c r="D2" s="2" t="s">
        <v>37</v>
      </c>
    </row>
    <row r="3" spans="1:4" ht="15.75" customHeight="1" x14ac:dyDescent="0.35">
      <c r="A3" s="4" t="str">
        <f>'Main hypotheses'!B3</f>
        <v>Space rental</v>
      </c>
      <c r="B3" s="11">
        <f>'Main hypotheses'!C3</f>
        <v>24000</v>
      </c>
      <c r="C3" s="96">
        <v>1</v>
      </c>
      <c r="D3" s="11">
        <f t="shared" ref="D3:D11" si="0">B3*C3</f>
        <v>24000</v>
      </c>
    </row>
    <row r="4" spans="1:4" ht="15.75" customHeight="1" x14ac:dyDescent="0.35">
      <c r="A4" s="4" t="str">
        <f>'Main hypotheses'!B4</f>
        <v>Vehicle rental</v>
      </c>
      <c r="B4" s="11">
        <f>'Main hypotheses'!C4</f>
        <v>7200</v>
      </c>
      <c r="C4" s="96">
        <v>0</v>
      </c>
      <c r="D4" s="11">
        <f t="shared" si="0"/>
        <v>0</v>
      </c>
    </row>
    <row r="5" spans="1:4" ht="15.75" customHeight="1" x14ac:dyDescent="0.35">
      <c r="A5" s="4" t="str">
        <f>'Main hypotheses'!B5</f>
        <v>Administrative person</v>
      </c>
      <c r="B5" s="11">
        <f>'Main hypotheses'!C5</f>
        <v>55000</v>
      </c>
      <c r="C5" s="96">
        <v>0.5</v>
      </c>
      <c r="D5" s="11">
        <f t="shared" si="0"/>
        <v>27500</v>
      </c>
    </row>
    <row r="6" spans="1:4" ht="15.75" customHeight="1" x14ac:dyDescent="0.35">
      <c r="A6" s="4" t="str">
        <f>'Main hypotheses'!B6</f>
        <v>Specialist engineer</v>
      </c>
      <c r="B6" s="11">
        <f>'Main hypotheses'!C6</f>
        <v>75000</v>
      </c>
      <c r="C6" s="96">
        <v>0</v>
      </c>
      <c r="D6" s="11">
        <f t="shared" si="0"/>
        <v>0</v>
      </c>
    </row>
    <row r="7" spans="1:4" ht="15.75" customHeight="1" x14ac:dyDescent="0.35">
      <c r="A7" s="4" t="str">
        <f>'Main hypotheses'!B7</f>
        <v>Senior repair person</v>
      </c>
      <c r="B7" s="11">
        <f>'Main hypotheses'!C7</f>
        <v>65000</v>
      </c>
      <c r="C7" s="96">
        <v>1</v>
      </c>
      <c r="D7" s="11">
        <f t="shared" si="0"/>
        <v>65000</v>
      </c>
    </row>
    <row r="8" spans="1:4" ht="15.75" customHeight="1" x14ac:dyDescent="0.35">
      <c r="A8" s="4" t="str">
        <f>'Main hypotheses'!B8</f>
        <v>Junior repair person</v>
      </c>
      <c r="B8" s="11">
        <f>'Main hypotheses'!C8</f>
        <v>48000</v>
      </c>
      <c r="C8" s="96">
        <v>2</v>
      </c>
      <c r="D8" s="11">
        <f t="shared" si="0"/>
        <v>96000</v>
      </c>
    </row>
    <row r="9" spans="1:4" ht="15.75" customHeight="1" x14ac:dyDescent="0.35">
      <c r="A9" s="4" t="str">
        <f>'Main hypotheses'!B9</f>
        <v>Benevolent repair person</v>
      </c>
      <c r="B9" s="11">
        <f>'Main hypotheses'!C9</f>
        <v>3000</v>
      </c>
      <c r="C9" s="96">
        <v>1</v>
      </c>
      <c r="D9" s="11">
        <f t="shared" si="0"/>
        <v>3000</v>
      </c>
    </row>
    <row r="10" spans="1:4" ht="15.75" customHeight="1" x14ac:dyDescent="0.35">
      <c r="A10" s="4" t="str">
        <f>'Main hypotheses'!B10</f>
        <v>Coach/animator</v>
      </c>
      <c r="B10" s="11">
        <f>'Main hypotheses'!C10</f>
        <v>55000</v>
      </c>
      <c r="C10" s="96">
        <v>0</v>
      </c>
      <c r="D10" s="11">
        <f t="shared" si="0"/>
        <v>0</v>
      </c>
    </row>
    <row r="11" spans="1:4" ht="15.75" customHeight="1" x14ac:dyDescent="0.35">
      <c r="A11" s="4" t="str">
        <f>'Main hypotheses'!B11</f>
        <v>Communication manager</v>
      </c>
      <c r="B11" s="11">
        <f>'Main hypotheses'!C11</f>
        <v>60000</v>
      </c>
      <c r="C11" s="96">
        <v>0.25</v>
      </c>
      <c r="D11" s="11">
        <f t="shared" si="0"/>
        <v>15000</v>
      </c>
    </row>
    <row r="12" spans="1:4" ht="15.75" customHeight="1" x14ac:dyDescent="0.35">
      <c r="A12" s="4" t="str">
        <f>'Main hypotheses'!B12</f>
        <v>Overhead cost on personnel</v>
      </c>
      <c r="B12" s="12">
        <f>'Main hypotheses'!C12</f>
        <v>0.1</v>
      </c>
      <c r="C12" s="96">
        <v>1</v>
      </c>
      <c r="D12" s="11">
        <f>B12*SUM(D5:D11)*C12</f>
        <v>20650</v>
      </c>
    </row>
    <row r="13" spans="1:4" ht="15.75" customHeight="1" x14ac:dyDescent="0.35">
      <c r="A13" s="4" t="str">
        <f>'Main hypotheses'!B13</f>
        <v>Energy (heating, elec…)</v>
      </c>
      <c r="B13" s="11">
        <f>'Main hypotheses'!C13</f>
        <v>6000</v>
      </c>
      <c r="C13" s="96">
        <v>1</v>
      </c>
      <c r="D13" s="11">
        <f t="shared" ref="D13:D17" si="1">B13*C13</f>
        <v>6000</v>
      </c>
    </row>
    <row r="14" spans="1:4" ht="15.75" customHeight="1" x14ac:dyDescent="0.35">
      <c r="A14" s="4" t="str">
        <f>'Main hypotheses'!B14</f>
        <v>Administration</v>
      </c>
      <c r="B14" s="11">
        <f>'Main hypotheses'!C14</f>
        <v>5000</v>
      </c>
      <c r="C14" s="96">
        <v>1</v>
      </c>
      <c r="D14" s="11">
        <f t="shared" si="1"/>
        <v>5000</v>
      </c>
    </row>
    <row r="15" spans="1:4" ht="15.75" customHeight="1" x14ac:dyDescent="0.35">
      <c r="A15" s="4" t="str">
        <f>'Main hypotheses'!B15</f>
        <v>Communication (Internet, email…)</v>
      </c>
      <c r="B15" s="11">
        <f>'Main hypotheses'!C15</f>
        <v>1200</v>
      </c>
      <c r="C15" s="96">
        <v>1</v>
      </c>
      <c r="D15" s="11">
        <f t="shared" si="1"/>
        <v>1200</v>
      </c>
    </row>
    <row r="16" spans="1:4" ht="15.75" customHeight="1" x14ac:dyDescent="0.35">
      <c r="A16" s="4" t="str">
        <f>'Main hypotheses'!B16</f>
        <v>Communication material</v>
      </c>
      <c r="B16" s="11">
        <f>'Main hypotheses'!C16</f>
        <v>3000</v>
      </c>
      <c r="C16" s="96">
        <v>1</v>
      </c>
      <c r="D16" s="11">
        <f t="shared" si="1"/>
        <v>3000</v>
      </c>
    </row>
    <row r="17" spans="1:7" ht="15.75" customHeight="1" x14ac:dyDescent="0.35">
      <c r="A17" s="4" t="str">
        <f>'Main hypotheses'!B17</f>
        <v>Tools</v>
      </c>
      <c r="B17" s="11">
        <f>'Main hypotheses'!C17</f>
        <v>3000</v>
      </c>
      <c r="C17" s="96">
        <v>1</v>
      </c>
      <c r="D17" s="11">
        <f t="shared" si="1"/>
        <v>3000</v>
      </c>
    </row>
    <row r="18" spans="1:7" ht="15.75" customHeight="1" x14ac:dyDescent="0.35">
      <c r="C18" s="13" t="s">
        <v>38</v>
      </c>
      <c r="D18" s="14">
        <f>SUM(D3:D17)</f>
        <v>269350</v>
      </c>
    </row>
    <row r="19" spans="1:7" ht="15.75" customHeight="1" x14ac:dyDescent="0.35"/>
    <row r="20" spans="1:7" ht="15.75" customHeight="1" x14ac:dyDescent="0.35">
      <c r="A20" s="2" t="s">
        <v>39</v>
      </c>
    </row>
    <row r="21" spans="1:7" ht="15.75" customHeight="1" x14ac:dyDescent="0.35">
      <c r="A21" s="4">
        <f t="shared" ref="A21:A24" si="2">C6</f>
        <v>0</v>
      </c>
      <c r="B21" s="4" t="str">
        <f t="shared" ref="B21:B24" si="3">A6</f>
        <v>Specialist engineer</v>
      </c>
    </row>
    <row r="22" spans="1:7" ht="15.75" customHeight="1" x14ac:dyDescent="0.35">
      <c r="A22" s="4">
        <f t="shared" si="2"/>
        <v>1</v>
      </c>
      <c r="B22" s="4" t="str">
        <f t="shared" si="3"/>
        <v>Senior repair person</v>
      </c>
    </row>
    <row r="23" spans="1:7" ht="15.75" customHeight="1" x14ac:dyDescent="0.35">
      <c r="A23" s="4">
        <f t="shared" si="2"/>
        <v>2</v>
      </c>
      <c r="B23" s="4" t="str">
        <f t="shared" si="3"/>
        <v>Junior repair person</v>
      </c>
    </row>
    <row r="24" spans="1:7" ht="15.75" customHeight="1" x14ac:dyDescent="0.35">
      <c r="A24" s="4">
        <f t="shared" si="2"/>
        <v>1</v>
      </c>
      <c r="B24" s="4" t="str">
        <f t="shared" si="3"/>
        <v>Benevolent repair person</v>
      </c>
    </row>
    <row r="25" spans="1:7" ht="15.75" customHeight="1" x14ac:dyDescent="0.35">
      <c r="A25" s="15">
        <v>0.8</v>
      </c>
      <c r="B25" s="16" t="s">
        <v>40</v>
      </c>
    </row>
    <row r="26" spans="1:7" ht="15.75" customHeight="1" x14ac:dyDescent="0.35">
      <c r="A26" s="13">
        <f>SUM(A21:A24)*A25</f>
        <v>3.2</v>
      </c>
      <c r="B26" s="17" t="s">
        <v>38</v>
      </c>
      <c r="C26" s="18" t="s">
        <v>41</v>
      </c>
      <c r="D26" s="19">
        <f>D18/A27</f>
        <v>0.83903384170653905</v>
      </c>
      <c r="E26" s="20" t="s">
        <v>42</v>
      </c>
      <c r="F26" s="5"/>
      <c r="G26" s="5"/>
    </row>
    <row r="27" spans="1:7" ht="15.75" customHeight="1" x14ac:dyDescent="0.35">
      <c r="A27" s="4">
        <f>A26*220*7.6*60</f>
        <v>321024</v>
      </c>
      <c r="B27" s="4" t="s">
        <v>43</v>
      </c>
      <c r="C27" s="4" t="s">
        <v>44</v>
      </c>
      <c r="F27" s="21"/>
      <c r="G27" s="5"/>
    </row>
    <row r="28" spans="1:7" ht="15.75" customHeight="1" x14ac:dyDescent="0.35">
      <c r="A28" s="22"/>
      <c r="F28" s="5"/>
      <c r="G28" s="5"/>
    </row>
    <row r="29" spans="1:7" ht="15.75" customHeight="1" x14ac:dyDescent="0.35">
      <c r="A29" s="23" t="s">
        <v>45</v>
      </c>
      <c r="B29" s="24" t="s">
        <v>46</v>
      </c>
      <c r="C29" s="25" t="s">
        <v>47</v>
      </c>
      <c r="D29" s="97"/>
      <c r="F29" s="5"/>
      <c r="G29" s="5"/>
    </row>
    <row r="30" spans="1:7" ht="15.75" customHeight="1" x14ac:dyDescent="0.35">
      <c r="A30" s="26" t="s">
        <v>48</v>
      </c>
      <c r="B30" s="27">
        <f>10/75*0.37</f>
        <v>4.9333333333333333E-2</v>
      </c>
      <c r="C30" s="28">
        <v>30</v>
      </c>
      <c r="F30" s="5"/>
      <c r="G30" s="5"/>
    </row>
    <row r="31" spans="1:7" ht="15.75" customHeight="1" x14ac:dyDescent="0.35">
      <c r="A31" s="26" t="s">
        <v>49</v>
      </c>
      <c r="B31" s="27">
        <f>13/75*0.37</f>
        <v>6.4133333333333334E-2</v>
      </c>
      <c r="C31" s="28">
        <v>45</v>
      </c>
      <c r="F31" s="5"/>
      <c r="G31" s="5"/>
    </row>
    <row r="32" spans="1:7" ht="15.75" customHeight="1" x14ac:dyDescent="0.35">
      <c r="A32" s="26" t="s">
        <v>50</v>
      </c>
      <c r="B32" s="27">
        <f>52/75*0.37</f>
        <v>0.25653333333333334</v>
      </c>
      <c r="C32" s="28">
        <v>45</v>
      </c>
      <c r="F32" s="5"/>
      <c r="G32" s="5"/>
    </row>
    <row r="33" spans="1:9" ht="15.75" customHeight="1" x14ac:dyDescent="0.35">
      <c r="A33" s="26" t="s">
        <v>51</v>
      </c>
      <c r="B33" s="27">
        <f>16/126*0.63</f>
        <v>0.08</v>
      </c>
      <c r="C33" s="28">
        <v>20</v>
      </c>
      <c r="F33" s="5"/>
      <c r="G33" s="5"/>
    </row>
    <row r="34" spans="1:9" ht="15.75" customHeight="1" x14ac:dyDescent="0.35">
      <c r="A34" s="29" t="s">
        <v>52</v>
      </c>
      <c r="B34" s="30">
        <f>110/126*0.63</f>
        <v>0.55000000000000004</v>
      </c>
      <c r="C34" s="31">
        <v>10</v>
      </c>
      <c r="F34" s="5"/>
      <c r="G34" s="5"/>
    </row>
    <row r="35" spans="1:9" ht="15.75" customHeight="1" x14ac:dyDescent="0.35">
      <c r="A35" s="4" t="s">
        <v>53</v>
      </c>
      <c r="B35" s="27">
        <f>SUM(B30:B34)</f>
        <v>1</v>
      </c>
      <c r="C35" s="22">
        <f>SUMPRODUCT(B30:B34,C30:C34)</f>
        <v>23.01</v>
      </c>
      <c r="F35" s="5"/>
      <c r="G35" s="5"/>
    </row>
    <row r="36" spans="1:9" ht="15.75" customHeight="1" x14ac:dyDescent="0.35">
      <c r="F36" s="5"/>
      <c r="G36" s="5"/>
    </row>
    <row r="37" spans="1:9" ht="15.75" customHeight="1" x14ac:dyDescent="0.35">
      <c r="F37" s="5"/>
      <c r="G37" s="5"/>
    </row>
    <row r="38" spans="1:9" ht="15.75" customHeight="1" x14ac:dyDescent="0.35">
      <c r="A38" s="32" t="s">
        <v>54</v>
      </c>
      <c r="B38" s="33"/>
      <c r="C38" s="34"/>
      <c r="E38" s="32" t="s">
        <v>55</v>
      </c>
      <c r="F38" s="33"/>
      <c r="G38" s="34"/>
    </row>
    <row r="39" spans="1:9" ht="15.75" customHeight="1" x14ac:dyDescent="0.35">
      <c r="A39" s="35" t="s">
        <v>56</v>
      </c>
      <c r="B39" s="36">
        <f>A27/C35</f>
        <v>13951.499348109517</v>
      </c>
      <c r="C39" s="37"/>
      <c r="E39" s="35" t="s">
        <v>57</v>
      </c>
      <c r="F39" s="38">
        <v>60</v>
      </c>
      <c r="G39" s="39" t="s">
        <v>58</v>
      </c>
    </row>
    <row r="40" spans="1:9" ht="15.75" customHeight="1" x14ac:dyDescent="0.35">
      <c r="A40" s="35" t="s">
        <v>59</v>
      </c>
      <c r="B40" s="40">
        <f>B39*SUM(B30:B32)</f>
        <v>5162.0547588005211</v>
      </c>
      <c r="C40" s="37"/>
      <c r="E40" s="35" t="s">
        <v>60</v>
      </c>
      <c r="F40" s="41">
        <v>0.2</v>
      </c>
      <c r="G40" s="37" t="s">
        <v>61</v>
      </c>
    </row>
    <row r="41" spans="1:9" ht="15.75" customHeight="1" x14ac:dyDescent="0.35">
      <c r="A41" s="35" t="s">
        <v>62</v>
      </c>
      <c r="B41" s="42">
        <v>5</v>
      </c>
      <c r="C41" s="39" t="s">
        <v>63</v>
      </c>
      <c r="D41" s="43" t="s">
        <v>64</v>
      </c>
      <c r="E41" s="35" t="s">
        <v>65</v>
      </c>
      <c r="F41" s="44">
        <f>F39*F40</f>
        <v>12</v>
      </c>
      <c r="G41" s="39" t="s">
        <v>58</v>
      </c>
    </row>
    <row r="42" spans="1:9" ht="15.75" customHeight="1" x14ac:dyDescent="0.35">
      <c r="A42" s="35" t="s">
        <v>66</v>
      </c>
      <c r="B42" s="11">
        <f>B41*B39*SUM(B33:B34)/(1+'Main hypotheses'!C26)</f>
        <v>36320.018964086768</v>
      </c>
      <c r="C42" s="37" t="s">
        <v>67</v>
      </c>
      <c r="D42" s="45" t="s">
        <v>68</v>
      </c>
      <c r="E42" s="35" t="s">
        <v>69</v>
      </c>
      <c r="F42" s="42">
        <v>5</v>
      </c>
      <c r="G42" s="39" t="s">
        <v>58</v>
      </c>
    </row>
    <row r="43" spans="1:9" ht="15.75" customHeight="1" x14ac:dyDescent="0.35">
      <c r="A43" s="35" t="s">
        <v>70</v>
      </c>
      <c r="B43" s="11">
        <f>D18-B42</f>
        <v>233029.98103591322</v>
      </c>
      <c r="C43" s="37" t="s">
        <v>67</v>
      </c>
      <c r="D43" s="5"/>
      <c r="E43" s="35" t="s">
        <v>71</v>
      </c>
      <c r="F43" s="46">
        <f>F42*SUM(B33:B34)+F41*SUM(B30:B32)</f>
        <v>7.59</v>
      </c>
      <c r="G43" s="37" t="s">
        <v>58</v>
      </c>
    </row>
    <row r="44" spans="1:9" ht="15.75" customHeight="1" x14ac:dyDescent="0.35">
      <c r="A44" s="35" t="s">
        <v>72</v>
      </c>
      <c r="B44" s="11">
        <f>B43/B40*(1+'Main hypotheses'!C21+'Main hypotheses'!C22)</f>
        <v>56.428590920755056</v>
      </c>
      <c r="C44" s="37" t="s">
        <v>73</v>
      </c>
      <c r="D44" s="5"/>
      <c r="E44" s="35" t="s">
        <v>74</v>
      </c>
      <c r="F44" s="40">
        <f>D18/F43*(1+'Main hypotheses'!C26)</f>
        <v>42939.855072463768</v>
      </c>
      <c r="G44" s="37"/>
    </row>
    <row r="45" spans="1:9" ht="15.75" customHeight="1" x14ac:dyDescent="0.35">
      <c r="A45" s="35"/>
      <c r="B45" s="47">
        <f>B44*(1+'Main hypotheses'!C26)</f>
        <v>68.27859501411362</v>
      </c>
      <c r="C45" s="37" t="s">
        <v>75</v>
      </c>
      <c r="D45" s="48"/>
      <c r="E45" s="35" t="s">
        <v>76</v>
      </c>
      <c r="F45" s="40">
        <f>F44*SUM(B30:B32)</f>
        <v>15887.746376811594</v>
      </c>
      <c r="G45" s="37"/>
    </row>
    <row r="46" spans="1:9" ht="15.75" customHeight="1" x14ac:dyDescent="0.35">
      <c r="A46" s="35" t="s">
        <v>77</v>
      </c>
      <c r="B46" s="47">
        <f>B44*'Main hypotheses'!C21</f>
        <v>11.285718184151012</v>
      </c>
      <c r="C46" s="37" t="s">
        <v>78</v>
      </c>
      <c r="E46" s="35" t="s">
        <v>79</v>
      </c>
      <c r="F46" s="49">
        <f>A27/F45</f>
        <v>20.205760614893713</v>
      </c>
      <c r="G46" s="37"/>
    </row>
    <row r="47" spans="1:9" ht="15.75" customHeight="1" x14ac:dyDescent="0.35">
      <c r="A47" s="50" t="s">
        <v>80</v>
      </c>
      <c r="B47" s="51">
        <f>B44*'Main hypotheses'!C22</f>
        <v>2.821429546037753</v>
      </c>
      <c r="C47" s="52" t="s">
        <v>78</v>
      </c>
      <c r="E47" s="35" t="s">
        <v>77</v>
      </c>
      <c r="F47" s="47">
        <f>F41*'Main hypotheses'!C21*(1-'Main hypotheses'!C26)</f>
        <v>1.8960000000000004</v>
      </c>
      <c r="G47" s="37" t="s">
        <v>78</v>
      </c>
      <c r="H47" s="4"/>
      <c r="I47" s="4"/>
    </row>
    <row r="48" spans="1:9" ht="15.75" customHeight="1" x14ac:dyDescent="0.35">
      <c r="E48" s="50" t="s">
        <v>80</v>
      </c>
      <c r="F48" s="51">
        <f>F41*'Main hypotheses'!C22*(1-'Main hypotheses'!C26)</f>
        <v>0.47400000000000009</v>
      </c>
      <c r="G48" s="52" t="s">
        <v>78</v>
      </c>
      <c r="H48" s="27"/>
      <c r="I48" s="4"/>
    </row>
    <row r="49" spans="1:9" ht="15.75" customHeight="1" x14ac:dyDescent="0.35">
      <c r="H49" s="27"/>
      <c r="I49" s="4"/>
    </row>
    <row r="50" spans="1:9" ht="15.75" customHeight="1" x14ac:dyDescent="0.35">
      <c r="A50" s="5"/>
      <c r="B50" s="53"/>
      <c r="C50" s="5"/>
      <c r="H50" s="27"/>
      <c r="I50" s="4"/>
    </row>
    <row r="51" spans="1:9" ht="15.75" customHeight="1" x14ac:dyDescent="0.35">
      <c r="A51" s="98" t="s">
        <v>81</v>
      </c>
      <c r="B51" s="53"/>
      <c r="C51" s="5"/>
      <c r="F51" s="4"/>
      <c r="G51" s="4"/>
      <c r="H51" s="27"/>
      <c r="I51" s="4"/>
    </row>
    <row r="52" spans="1:9" ht="15.75" customHeight="1" x14ac:dyDescent="0.35">
      <c r="A52" s="5" t="s">
        <v>82</v>
      </c>
      <c r="B52" s="53"/>
      <c r="C52" s="4">
        <f>C35</f>
        <v>23.01</v>
      </c>
      <c r="D52" s="4" t="s">
        <v>83</v>
      </c>
      <c r="F52" s="4"/>
      <c r="H52" s="27"/>
      <c r="I52" s="4"/>
    </row>
    <row r="53" spans="1:9" ht="15.75" customHeight="1" x14ac:dyDescent="0.35">
      <c r="A53" s="4" t="s">
        <v>84</v>
      </c>
      <c r="C53" s="54">
        <f>D18</f>
        <v>269350</v>
      </c>
      <c r="D53" s="4" t="s">
        <v>67</v>
      </c>
    </row>
    <row r="54" spans="1:9" ht="15.75" customHeight="1" x14ac:dyDescent="0.35">
      <c r="A54" s="4" t="s">
        <v>85</v>
      </c>
      <c r="C54" s="54">
        <f>F42</f>
        <v>5</v>
      </c>
      <c r="D54" s="4" t="s">
        <v>86</v>
      </c>
    </row>
    <row r="55" spans="1:9" ht="15.75" customHeight="1" x14ac:dyDescent="0.35">
      <c r="A55" s="4"/>
      <c r="C55" s="54">
        <f>F41</f>
        <v>12</v>
      </c>
      <c r="D55" s="4" t="s">
        <v>87</v>
      </c>
    </row>
    <row r="56" spans="1:9" ht="15.75" customHeight="1" x14ac:dyDescent="0.35">
      <c r="A56" s="4" t="s">
        <v>88</v>
      </c>
      <c r="C56" s="55">
        <f>(C54*(B39-B40)+C55*B40)/(1+'Main hypotheses'!C26)</f>
        <v>87513.950456323335</v>
      </c>
      <c r="D56" s="4" t="s">
        <v>67</v>
      </c>
    </row>
    <row r="57" spans="1:9" ht="15.75" customHeight="1" x14ac:dyDescent="0.35">
      <c r="A57" s="4" t="s">
        <v>89</v>
      </c>
      <c r="C57" s="56">
        <f>IF(C56&gt;C53,C56-C53,0)</f>
        <v>0</v>
      </c>
      <c r="D57" s="4" t="s">
        <v>67</v>
      </c>
    </row>
    <row r="58" spans="1:9" ht="15.75" customHeight="1" x14ac:dyDescent="0.55000000000000004">
      <c r="A58" s="4" t="s">
        <v>90</v>
      </c>
      <c r="C58" s="57">
        <f>IF(C56&lt;C53,C56-C53,0)</f>
        <v>-181836.04954367667</v>
      </c>
      <c r="D58" s="4" t="s">
        <v>67</v>
      </c>
      <c r="E58" s="27">
        <f>C58/D18</f>
        <v>-0.67509207181613762</v>
      </c>
    </row>
    <row r="59" spans="1:9" ht="15.75" customHeight="1" x14ac:dyDescent="0.35">
      <c r="A59" s="4"/>
    </row>
    <row r="60" spans="1:9" ht="15.75" customHeight="1" x14ac:dyDescent="0.35">
      <c r="A60" s="58"/>
    </row>
    <row r="61" spans="1:9" ht="15.75" customHeight="1" x14ac:dyDescent="0.35">
      <c r="A61" s="58"/>
    </row>
    <row r="62" spans="1:9" ht="15.75" customHeight="1" x14ac:dyDescent="0.35">
      <c r="A62" s="58"/>
    </row>
    <row r="63" spans="1:9" ht="15.75" customHeight="1" x14ac:dyDescent="0.35">
      <c r="A63" s="58"/>
    </row>
    <row r="64" spans="1:9" ht="15.75" customHeight="1" x14ac:dyDescent="0.35">
      <c r="A64" s="58"/>
    </row>
    <row r="65" spans="1:6" ht="15.75" customHeight="1" x14ac:dyDescent="0.35">
      <c r="A65" s="58"/>
    </row>
    <row r="66" spans="1:6" ht="15.75" customHeight="1" x14ac:dyDescent="0.35">
      <c r="F66" s="4"/>
    </row>
    <row r="67" spans="1:6" ht="15.75" customHeight="1" x14ac:dyDescent="0.35"/>
    <row r="68" spans="1:6" ht="15.75" customHeight="1" x14ac:dyDescent="0.35"/>
    <row r="69" spans="1:6" ht="15.75" customHeight="1" x14ac:dyDescent="0.35"/>
    <row r="70" spans="1:6" ht="15.75" customHeight="1" x14ac:dyDescent="0.35"/>
    <row r="71" spans="1:6" ht="15.75" customHeight="1" x14ac:dyDescent="0.35"/>
    <row r="72" spans="1:6" ht="15.75" customHeight="1" x14ac:dyDescent="0.35"/>
    <row r="73" spans="1:6" ht="15.75" customHeight="1" x14ac:dyDescent="0.35"/>
    <row r="74" spans="1:6" ht="15.75" customHeight="1" x14ac:dyDescent="0.35"/>
    <row r="75" spans="1:6" ht="15.75" customHeight="1" x14ac:dyDescent="0.35"/>
    <row r="76" spans="1:6" ht="15.75" customHeight="1" x14ac:dyDescent="0.35"/>
    <row r="77" spans="1:6" ht="15.75" customHeight="1" x14ac:dyDescent="0.35"/>
    <row r="78" spans="1:6" ht="15.75" customHeight="1" x14ac:dyDescent="0.35"/>
    <row r="79" spans="1:6" ht="15.75" customHeight="1" x14ac:dyDescent="0.35"/>
    <row r="80" spans="1:6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  <row r="1006" ht="15.75" customHeight="1" x14ac:dyDescent="0.35"/>
    <row r="1007" ht="15.75" customHeight="1" x14ac:dyDescent="0.35"/>
    <row r="1008" ht="15.75" customHeight="1" x14ac:dyDescent="0.35"/>
    <row r="1009" ht="15.75" customHeight="1" x14ac:dyDescent="0.35"/>
    <row r="1010" ht="15.75" customHeight="1" x14ac:dyDescent="0.35"/>
    <row r="1011" ht="15.75" customHeight="1" x14ac:dyDescent="0.35"/>
    <row r="1012" ht="15.75" customHeight="1" x14ac:dyDescent="0.35"/>
    <row r="1013" ht="15.75" customHeight="1" x14ac:dyDescent="0.35"/>
    <row r="1014" ht="15.75" customHeight="1" x14ac:dyDescent="0.35"/>
    <row r="1015" ht="15.75" customHeight="1" x14ac:dyDescent="0.35"/>
    <row r="1016" ht="15.75" customHeight="1" x14ac:dyDescent="0.35"/>
    <row r="1017" ht="15.75" customHeight="1" x14ac:dyDescent="0.35"/>
    <row r="1018" ht="15.75" customHeight="1" x14ac:dyDescent="0.35"/>
    <row r="1019" ht="15.75" customHeight="1" x14ac:dyDescent="0.35"/>
    <row r="1020" ht="15.75" customHeight="1" x14ac:dyDescent="0.35"/>
    <row r="1021" ht="15.75" customHeight="1" x14ac:dyDescent="0.35"/>
    <row r="1022" ht="15.75" customHeight="1" x14ac:dyDescent="0.35"/>
    <row r="1023" ht="15.75" customHeight="1" x14ac:dyDescent="0.35"/>
    <row r="1024" ht="15.75" customHeight="1" x14ac:dyDescent="0.35"/>
    <row r="1025" ht="15.75" customHeight="1" x14ac:dyDescent="0.35"/>
    <row r="1026" ht="15.75" customHeight="1" x14ac:dyDescent="0.35"/>
    <row r="1027" ht="15.75" customHeight="1" x14ac:dyDescent="0.3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27"/>
  <sheetViews>
    <sheetView workbookViewId="0"/>
  </sheetViews>
  <sheetFormatPr defaultColWidth="11.25" defaultRowHeight="15" customHeight="1" x14ac:dyDescent="0.35"/>
  <cols>
    <col min="1" max="1" width="29.58203125" customWidth="1"/>
    <col min="2" max="2" width="13.33203125" customWidth="1"/>
    <col min="3" max="3" width="15.08203125" customWidth="1"/>
    <col min="4" max="4" width="13.5" customWidth="1"/>
    <col min="5" max="5" width="31.25" customWidth="1"/>
    <col min="6" max="6" width="10.5" customWidth="1"/>
    <col min="7" max="7" width="11.75" customWidth="1"/>
    <col min="8" max="8" width="10.5" customWidth="1"/>
    <col min="9" max="9" width="27.5" customWidth="1"/>
    <col min="10" max="26" width="10.5" customWidth="1"/>
  </cols>
  <sheetData>
    <row r="1" spans="1:4" ht="15.75" customHeight="1" x14ac:dyDescent="0.35">
      <c r="A1" s="96" t="s">
        <v>35</v>
      </c>
    </row>
    <row r="2" spans="1:4" ht="15.75" customHeight="1" x14ac:dyDescent="0.35">
      <c r="A2" s="2" t="str">
        <f>'Main hypotheses'!B2</f>
        <v>Element</v>
      </c>
      <c r="B2" s="3" t="str">
        <f>'Main hypotheses'!C2</f>
        <v>Yearly Amount</v>
      </c>
      <c r="C2" s="96" t="s">
        <v>36</v>
      </c>
      <c r="D2" s="2" t="s">
        <v>37</v>
      </c>
    </row>
    <row r="3" spans="1:4" ht="15.75" customHeight="1" x14ac:dyDescent="0.35">
      <c r="A3" s="4" t="str">
        <f>'Main hypotheses'!B3</f>
        <v>Space rental</v>
      </c>
      <c r="B3" s="11">
        <f>'Main hypotheses'!C3</f>
        <v>24000</v>
      </c>
      <c r="C3" s="96">
        <v>1</v>
      </c>
      <c r="D3" s="11">
        <f t="shared" ref="D3:D11" si="0">B3*C3</f>
        <v>24000</v>
      </c>
    </row>
    <row r="4" spans="1:4" ht="15.75" customHeight="1" x14ac:dyDescent="0.35">
      <c r="A4" s="4" t="str">
        <f>'Main hypotheses'!B4</f>
        <v>Vehicle rental</v>
      </c>
      <c r="B4" s="11">
        <f>'Main hypotheses'!C4</f>
        <v>7200</v>
      </c>
      <c r="C4" s="96">
        <v>0</v>
      </c>
      <c r="D4" s="11">
        <f t="shared" si="0"/>
        <v>0</v>
      </c>
    </row>
    <row r="5" spans="1:4" ht="15.75" customHeight="1" x14ac:dyDescent="0.35">
      <c r="A5" s="4" t="str">
        <f>'Main hypotheses'!B5</f>
        <v>Administrative person</v>
      </c>
      <c r="B5" s="11">
        <f>'Main hypotheses'!C5</f>
        <v>55000</v>
      </c>
      <c r="C5" s="96">
        <v>1.5</v>
      </c>
      <c r="D5" s="11">
        <f t="shared" si="0"/>
        <v>82500</v>
      </c>
    </row>
    <row r="6" spans="1:4" ht="15.75" customHeight="1" x14ac:dyDescent="0.35">
      <c r="A6" s="4" t="str">
        <f>'Main hypotheses'!B6</f>
        <v>Specialist engineer</v>
      </c>
      <c r="B6" s="11">
        <f>'Main hypotheses'!C6</f>
        <v>75000</v>
      </c>
      <c r="C6" s="96">
        <v>0</v>
      </c>
      <c r="D6" s="11">
        <f t="shared" si="0"/>
        <v>0</v>
      </c>
    </row>
    <row r="7" spans="1:4" ht="15.75" customHeight="1" x14ac:dyDescent="0.35">
      <c r="A7" s="4" t="str">
        <f>'Main hypotheses'!B7</f>
        <v>Senior repair person</v>
      </c>
      <c r="B7" s="59">
        <v>45000</v>
      </c>
      <c r="C7" s="96">
        <v>1</v>
      </c>
      <c r="D7" s="11">
        <f t="shared" si="0"/>
        <v>45000</v>
      </c>
    </row>
    <row r="8" spans="1:4" ht="15.75" customHeight="1" x14ac:dyDescent="0.35">
      <c r="A8" s="4" t="str">
        <f>'Main hypotheses'!B8</f>
        <v>Junior repair person</v>
      </c>
      <c r="B8" s="59">
        <v>20000</v>
      </c>
      <c r="C8" s="96">
        <v>2</v>
      </c>
      <c r="D8" s="11">
        <f t="shared" si="0"/>
        <v>40000</v>
      </c>
    </row>
    <row r="9" spans="1:4" ht="15.75" customHeight="1" x14ac:dyDescent="0.35">
      <c r="A9" s="4" t="str">
        <f>'Main hypotheses'!B9</f>
        <v>Benevolent repair person</v>
      </c>
      <c r="B9" s="59">
        <f>'Main hypotheses'!C9</f>
        <v>3000</v>
      </c>
      <c r="C9" s="96">
        <v>2</v>
      </c>
      <c r="D9" s="11">
        <f t="shared" si="0"/>
        <v>6000</v>
      </c>
    </row>
    <row r="10" spans="1:4" ht="15.75" customHeight="1" x14ac:dyDescent="0.35">
      <c r="A10" s="4" t="str">
        <f>'Main hypotheses'!B10</f>
        <v>Coach/animator</v>
      </c>
      <c r="B10" s="11">
        <f>'Main hypotheses'!C10</f>
        <v>55000</v>
      </c>
      <c r="C10" s="96">
        <v>0</v>
      </c>
      <c r="D10" s="11">
        <f t="shared" si="0"/>
        <v>0</v>
      </c>
    </row>
    <row r="11" spans="1:4" ht="15.75" customHeight="1" x14ac:dyDescent="0.35">
      <c r="A11" s="4" t="str">
        <f>'Main hypotheses'!B11</f>
        <v>Communication manager</v>
      </c>
      <c r="B11" s="11">
        <f>'Main hypotheses'!C11</f>
        <v>60000</v>
      </c>
      <c r="C11" s="96">
        <v>0.25</v>
      </c>
      <c r="D11" s="11">
        <f t="shared" si="0"/>
        <v>15000</v>
      </c>
    </row>
    <row r="12" spans="1:4" ht="15.75" customHeight="1" x14ac:dyDescent="0.35">
      <c r="A12" s="4" t="str">
        <f>'Main hypotheses'!B12</f>
        <v>Overhead cost on personnel</v>
      </c>
      <c r="B12" s="12">
        <f>'Main hypotheses'!C12</f>
        <v>0.1</v>
      </c>
      <c r="C12" s="96">
        <v>1</v>
      </c>
      <c r="D12" s="11">
        <f>B12*SUM(D5:D11)*C12</f>
        <v>18850</v>
      </c>
    </row>
    <row r="13" spans="1:4" ht="15.75" customHeight="1" x14ac:dyDescent="0.35">
      <c r="A13" s="4" t="str">
        <f>'Main hypotheses'!B13</f>
        <v>Energy (heating, elec…)</v>
      </c>
      <c r="B13" s="11">
        <f>'Main hypotheses'!C13</f>
        <v>6000</v>
      </c>
      <c r="C13" s="96">
        <v>1</v>
      </c>
      <c r="D13" s="11">
        <f t="shared" ref="D13:D17" si="1">B13*C13</f>
        <v>6000</v>
      </c>
    </row>
    <row r="14" spans="1:4" ht="15.75" customHeight="1" x14ac:dyDescent="0.35">
      <c r="A14" s="4" t="str">
        <f>'Main hypotheses'!B14</f>
        <v>Administration</v>
      </c>
      <c r="B14" s="11">
        <f>'Main hypotheses'!C14</f>
        <v>5000</v>
      </c>
      <c r="C14" s="96">
        <v>1</v>
      </c>
      <c r="D14" s="11">
        <f t="shared" si="1"/>
        <v>5000</v>
      </c>
    </row>
    <row r="15" spans="1:4" ht="15.75" customHeight="1" x14ac:dyDescent="0.35">
      <c r="A15" s="4" t="str">
        <f>'Main hypotheses'!B15</f>
        <v>Communication (Internet, email…)</v>
      </c>
      <c r="B15" s="11">
        <f>'Main hypotheses'!C15</f>
        <v>1200</v>
      </c>
      <c r="C15" s="96">
        <v>1</v>
      </c>
      <c r="D15" s="11">
        <f t="shared" si="1"/>
        <v>1200</v>
      </c>
    </row>
    <row r="16" spans="1:4" ht="15.75" customHeight="1" x14ac:dyDescent="0.35">
      <c r="A16" s="4" t="str">
        <f>'Main hypotheses'!B16</f>
        <v>Communication material</v>
      </c>
      <c r="B16" s="11">
        <f>'Main hypotheses'!C16</f>
        <v>3000</v>
      </c>
      <c r="C16" s="96">
        <v>1</v>
      </c>
      <c r="D16" s="11">
        <f t="shared" si="1"/>
        <v>3000</v>
      </c>
    </row>
    <row r="17" spans="1:7" ht="15.75" customHeight="1" x14ac:dyDescent="0.35">
      <c r="A17" s="4" t="str">
        <f>'Main hypotheses'!B17</f>
        <v>Tools</v>
      </c>
      <c r="B17" s="11">
        <f>'Main hypotheses'!C17</f>
        <v>3000</v>
      </c>
      <c r="C17" s="96">
        <v>1</v>
      </c>
      <c r="D17" s="11">
        <f t="shared" si="1"/>
        <v>3000</v>
      </c>
    </row>
    <row r="18" spans="1:7" ht="15.75" customHeight="1" x14ac:dyDescent="0.35">
      <c r="C18" s="13" t="s">
        <v>38</v>
      </c>
      <c r="D18" s="14">
        <f>SUM(D3:D17)</f>
        <v>249550</v>
      </c>
    </row>
    <row r="19" spans="1:7" ht="15.75" customHeight="1" x14ac:dyDescent="0.35"/>
    <row r="20" spans="1:7" ht="15.75" customHeight="1" x14ac:dyDescent="0.35">
      <c r="A20" s="2" t="s">
        <v>39</v>
      </c>
    </row>
    <row r="21" spans="1:7" ht="15.75" customHeight="1" x14ac:dyDescent="0.35">
      <c r="A21" s="4">
        <f t="shared" ref="A21:A24" si="2">C6</f>
        <v>0</v>
      </c>
      <c r="B21" s="4" t="str">
        <f t="shared" ref="B21:B24" si="3">A6</f>
        <v>Specialist engineer</v>
      </c>
    </row>
    <row r="22" spans="1:7" ht="15.75" customHeight="1" x14ac:dyDescent="0.35">
      <c r="A22" s="4">
        <f t="shared" si="2"/>
        <v>1</v>
      </c>
      <c r="B22" s="4" t="str">
        <f t="shared" si="3"/>
        <v>Senior repair person</v>
      </c>
    </row>
    <row r="23" spans="1:7" ht="15.75" customHeight="1" x14ac:dyDescent="0.35">
      <c r="A23" s="4">
        <f t="shared" si="2"/>
        <v>2</v>
      </c>
      <c r="B23" s="4" t="str">
        <f t="shared" si="3"/>
        <v>Junior repair person</v>
      </c>
    </row>
    <row r="24" spans="1:7" ht="15.75" customHeight="1" x14ac:dyDescent="0.35">
      <c r="A24" s="4">
        <f t="shared" si="2"/>
        <v>2</v>
      </c>
      <c r="B24" s="4" t="str">
        <f t="shared" si="3"/>
        <v>Benevolent repair person</v>
      </c>
    </row>
    <row r="25" spans="1:7" ht="15.75" customHeight="1" x14ac:dyDescent="0.35">
      <c r="A25" s="15">
        <v>0.8</v>
      </c>
      <c r="B25" s="16" t="s">
        <v>40</v>
      </c>
    </row>
    <row r="26" spans="1:7" ht="15.75" customHeight="1" x14ac:dyDescent="0.35">
      <c r="A26" s="13">
        <f>SUM(A21:A24)*A25</f>
        <v>4</v>
      </c>
      <c r="B26" s="17" t="s">
        <v>38</v>
      </c>
      <c r="C26" s="18" t="s">
        <v>41</v>
      </c>
      <c r="D26" s="19">
        <f>D18/A27</f>
        <v>0.62188496810207339</v>
      </c>
      <c r="E26" s="20" t="s">
        <v>42</v>
      </c>
      <c r="F26" s="5"/>
      <c r="G26" s="5"/>
    </row>
    <row r="27" spans="1:7" ht="15.75" customHeight="1" x14ac:dyDescent="0.35">
      <c r="A27" s="4">
        <f>A26*220*7.6*60</f>
        <v>401280</v>
      </c>
      <c r="B27" s="4" t="s">
        <v>43</v>
      </c>
      <c r="C27" s="4" t="s">
        <v>44</v>
      </c>
      <c r="F27" s="21"/>
      <c r="G27" s="5"/>
    </row>
    <row r="28" spans="1:7" ht="15.75" customHeight="1" x14ac:dyDescent="0.35">
      <c r="A28" s="22"/>
      <c r="F28" s="5"/>
      <c r="G28" s="5"/>
    </row>
    <row r="29" spans="1:7" ht="15.75" customHeight="1" x14ac:dyDescent="0.35">
      <c r="A29" s="23" t="s">
        <v>45</v>
      </c>
      <c r="B29" s="24" t="s">
        <v>46</v>
      </c>
      <c r="C29" s="25" t="s">
        <v>47</v>
      </c>
      <c r="D29" s="97"/>
      <c r="F29" s="5"/>
      <c r="G29" s="5"/>
    </row>
    <row r="30" spans="1:7" ht="15.75" customHeight="1" x14ac:dyDescent="0.35">
      <c r="A30" s="26" t="s">
        <v>48</v>
      </c>
      <c r="B30" s="27">
        <f>10/75*0.37</f>
        <v>4.9333333333333333E-2</v>
      </c>
      <c r="C30" s="28">
        <v>30</v>
      </c>
      <c r="F30" s="5"/>
      <c r="G30" s="5"/>
    </row>
    <row r="31" spans="1:7" ht="15.75" customHeight="1" x14ac:dyDescent="0.35">
      <c r="A31" s="26" t="s">
        <v>49</v>
      </c>
      <c r="B31" s="27">
        <f>13/75*0.37</f>
        <v>6.4133333333333334E-2</v>
      </c>
      <c r="C31" s="28">
        <v>45</v>
      </c>
      <c r="F31" s="5"/>
      <c r="G31" s="5"/>
    </row>
    <row r="32" spans="1:7" ht="15.75" customHeight="1" x14ac:dyDescent="0.35">
      <c r="A32" s="26" t="s">
        <v>50</v>
      </c>
      <c r="B32" s="27">
        <f>52/75*0.37</f>
        <v>0.25653333333333334</v>
      </c>
      <c r="C32" s="28">
        <v>45</v>
      </c>
      <c r="F32" s="5"/>
      <c r="G32" s="5"/>
    </row>
    <row r="33" spans="1:9" ht="15.75" customHeight="1" x14ac:dyDescent="0.35">
      <c r="A33" s="26" t="s">
        <v>51</v>
      </c>
      <c r="B33" s="27">
        <f>16/126*0.63</f>
        <v>0.08</v>
      </c>
      <c r="C33" s="28">
        <v>20</v>
      </c>
      <c r="F33" s="5"/>
      <c r="G33" s="5"/>
    </row>
    <row r="34" spans="1:9" ht="15.75" customHeight="1" x14ac:dyDescent="0.35">
      <c r="A34" s="29" t="s">
        <v>52</v>
      </c>
      <c r="B34" s="30">
        <f>110/126*0.63</f>
        <v>0.55000000000000004</v>
      </c>
      <c r="C34" s="31">
        <v>10</v>
      </c>
      <c r="F34" s="5"/>
      <c r="G34" s="5"/>
    </row>
    <row r="35" spans="1:9" ht="15.75" customHeight="1" x14ac:dyDescent="0.35">
      <c r="A35" s="4" t="s">
        <v>53</v>
      </c>
      <c r="B35" s="27">
        <f>SUM(B30:B34)</f>
        <v>1</v>
      </c>
      <c r="C35" s="22">
        <f>SUMPRODUCT(B30:B34,C30:C34)</f>
        <v>23.01</v>
      </c>
      <c r="F35" s="5"/>
      <c r="G35" s="5"/>
    </row>
    <row r="36" spans="1:9" ht="15.75" customHeight="1" x14ac:dyDescent="0.35">
      <c r="F36" s="5"/>
      <c r="G36" s="5"/>
    </row>
    <row r="37" spans="1:9" ht="15.75" customHeight="1" x14ac:dyDescent="0.35">
      <c r="F37" s="5"/>
      <c r="G37" s="5"/>
    </row>
    <row r="38" spans="1:9" ht="15.75" customHeight="1" x14ac:dyDescent="0.35">
      <c r="A38" s="32" t="s">
        <v>54</v>
      </c>
      <c r="B38" s="33"/>
      <c r="C38" s="34"/>
      <c r="E38" s="32" t="s">
        <v>55</v>
      </c>
      <c r="F38" s="33"/>
      <c r="G38" s="34"/>
    </row>
    <row r="39" spans="1:9" ht="15.75" customHeight="1" x14ac:dyDescent="0.35">
      <c r="A39" s="35" t="s">
        <v>56</v>
      </c>
      <c r="B39" s="36">
        <f>A27/C35</f>
        <v>17439.374185136894</v>
      </c>
      <c r="C39" s="37"/>
      <c r="E39" s="35" t="s">
        <v>57</v>
      </c>
      <c r="F39" s="38">
        <v>60</v>
      </c>
      <c r="G39" s="39" t="s">
        <v>58</v>
      </c>
    </row>
    <row r="40" spans="1:9" ht="15.75" customHeight="1" x14ac:dyDescent="0.35">
      <c r="A40" s="35" t="s">
        <v>59</v>
      </c>
      <c r="B40" s="40">
        <f>B39*SUM(B30:B32)</f>
        <v>6452.5684485006504</v>
      </c>
      <c r="C40" s="37"/>
      <c r="E40" s="35" t="s">
        <v>60</v>
      </c>
      <c r="F40" s="41">
        <v>0.2</v>
      </c>
      <c r="G40" s="37" t="s">
        <v>61</v>
      </c>
    </row>
    <row r="41" spans="1:9" ht="15.75" customHeight="1" x14ac:dyDescent="0.35">
      <c r="A41" s="35" t="s">
        <v>62</v>
      </c>
      <c r="B41" s="42">
        <v>5</v>
      </c>
      <c r="C41" s="39" t="s">
        <v>63</v>
      </c>
      <c r="D41" s="43" t="s">
        <v>64</v>
      </c>
      <c r="E41" s="35" t="s">
        <v>65</v>
      </c>
      <c r="F41" s="44">
        <f>F39*F40</f>
        <v>12</v>
      </c>
      <c r="G41" s="39" t="s">
        <v>58</v>
      </c>
    </row>
    <row r="42" spans="1:9" ht="15.75" customHeight="1" x14ac:dyDescent="0.35">
      <c r="A42" s="35" t="s">
        <v>66</v>
      </c>
      <c r="B42" s="11">
        <f>B41*B39*SUM(B33:B34)/(1+'Main hypotheses'!C26)</f>
        <v>45400.023705108448</v>
      </c>
      <c r="C42" s="37" t="s">
        <v>67</v>
      </c>
      <c r="D42" s="45" t="s">
        <v>68</v>
      </c>
      <c r="E42" s="35" t="s">
        <v>69</v>
      </c>
      <c r="F42" s="42">
        <v>5</v>
      </c>
      <c r="G42" s="39" t="s">
        <v>58</v>
      </c>
    </row>
    <row r="43" spans="1:9" ht="15.75" customHeight="1" x14ac:dyDescent="0.35">
      <c r="A43" s="35" t="s">
        <v>70</v>
      </c>
      <c r="B43" s="11">
        <f>D18-B42</f>
        <v>204149.97629489156</v>
      </c>
      <c r="C43" s="37" t="s">
        <v>67</v>
      </c>
      <c r="D43" s="5"/>
      <c r="E43" s="35" t="s">
        <v>71</v>
      </c>
      <c r="F43" s="46">
        <f>F42*SUM(B33:B34)+F41*SUM(B30:B32)</f>
        <v>7.59</v>
      </c>
      <c r="G43" s="37" t="s">
        <v>58</v>
      </c>
    </row>
    <row r="44" spans="1:9" ht="15.75" customHeight="1" x14ac:dyDescent="0.35">
      <c r="A44" s="35" t="s">
        <v>72</v>
      </c>
      <c r="B44" s="11">
        <f>B43/B40*(1+'Main hypotheses'!C21+'Main hypotheses'!C22)</f>
        <v>39.548200442245758</v>
      </c>
      <c r="C44" s="37" t="s">
        <v>73</v>
      </c>
      <c r="D44" s="5"/>
      <c r="E44" s="35" t="s">
        <v>74</v>
      </c>
      <c r="F44" s="40">
        <f>D18/F43*(1+'Main hypotheses'!C26)</f>
        <v>39783.333333333336</v>
      </c>
      <c r="G44" s="37"/>
    </row>
    <row r="45" spans="1:9" ht="15.75" customHeight="1" x14ac:dyDescent="0.35">
      <c r="A45" s="35"/>
      <c r="B45" s="47">
        <f>B44*(1+'Main hypotheses'!C26)</f>
        <v>47.853322535117364</v>
      </c>
      <c r="C45" s="37" t="s">
        <v>75</v>
      </c>
      <c r="D45" s="48"/>
      <c r="E45" s="35" t="s">
        <v>76</v>
      </c>
      <c r="F45" s="40">
        <f>F44*SUM(B30:B32)</f>
        <v>14719.833333333334</v>
      </c>
      <c r="G45" s="37"/>
    </row>
    <row r="46" spans="1:9" ht="15.75" customHeight="1" x14ac:dyDescent="0.35">
      <c r="A46" s="35" t="s">
        <v>77</v>
      </c>
      <c r="B46" s="47">
        <f>B44*'Main hypotheses'!C21</f>
        <v>7.9096400884491516</v>
      </c>
      <c r="C46" s="37" t="s">
        <v>78</v>
      </c>
      <c r="E46" s="35" t="s">
        <v>79</v>
      </c>
      <c r="F46" s="49">
        <f>A27/F45</f>
        <v>27.261178228920162</v>
      </c>
      <c r="G46" s="37"/>
    </row>
    <row r="47" spans="1:9" ht="15.75" customHeight="1" x14ac:dyDescent="0.35">
      <c r="A47" s="50" t="s">
        <v>80</v>
      </c>
      <c r="B47" s="51">
        <f>B44*'Main hypotheses'!C22</f>
        <v>1.9774100221122879</v>
      </c>
      <c r="C47" s="52" t="s">
        <v>78</v>
      </c>
      <c r="E47" s="35" t="s">
        <v>77</v>
      </c>
      <c r="F47" s="47">
        <f>F41*'Main hypotheses'!C21*(1-'Main hypotheses'!C26)</f>
        <v>1.8960000000000004</v>
      </c>
      <c r="G47" s="37" t="s">
        <v>78</v>
      </c>
      <c r="H47" s="4"/>
      <c r="I47" s="4"/>
    </row>
    <row r="48" spans="1:9" ht="15.75" customHeight="1" x14ac:dyDescent="0.35">
      <c r="E48" s="50" t="s">
        <v>80</v>
      </c>
      <c r="F48" s="51">
        <f>F41*'Main hypotheses'!C22*(1-'Main hypotheses'!C26)</f>
        <v>0.47400000000000009</v>
      </c>
      <c r="G48" s="52" t="s">
        <v>78</v>
      </c>
      <c r="H48" s="27"/>
      <c r="I48" s="4"/>
    </row>
    <row r="49" spans="1:9" ht="15.75" customHeight="1" x14ac:dyDescent="0.35">
      <c r="H49" s="27"/>
      <c r="I49" s="4"/>
    </row>
    <row r="50" spans="1:9" ht="15.75" customHeight="1" x14ac:dyDescent="0.35">
      <c r="A50" s="5"/>
      <c r="B50" s="53"/>
      <c r="C50" s="5"/>
      <c r="H50" s="27"/>
      <c r="I50" s="4"/>
    </row>
    <row r="51" spans="1:9" ht="15.75" customHeight="1" x14ac:dyDescent="0.35">
      <c r="A51" s="98" t="s">
        <v>81</v>
      </c>
      <c r="B51" s="53"/>
      <c r="C51" s="5"/>
      <c r="F51" s="4"/>
      <c r="G51" s="4"/>
      <c r="H51" s="27"/>
      <c r="I51" s="4"/>
    </row>
    <row r="52" spans="1:9" ht="15.75" customHeight="1" x14ac:dyDescent="0.35">
      <c r="A52" s="5" t="s">
        <v>82</v>
      </c>
      <c r="B52" s="53"/>
      <c r="C52" s="4">
        <f>C35</f>
        <v>23.01</v>
      </c>
      <c r="D52" s="4" t="s">
        <v>83</v>
      </c>
      <c r="F52" s="4"/>
      <c r="H52" s="27"/>
      <c r="I52" s="4"/>
    </row>
    <row r="53" spans="1:9" ht="15.75" customHeight="1" x14ac:dyDescent="0.35">
      <c r="A53" s="4" t="s">
        <v>84</v>
      </c>
      <c r="C53" s="54">
        <f>D18</f>
        <v>249550</v>
      </c>
      <c r="D53" s="4" t="s">
        <v>67</v>
      </c>
    </row>
    <row r="54" spans="1:9" ht="15.75" customHeight="1" x14ac:dyDescent="0.35">
      <c r="A54" s="4" t="s">
        <v>85</v>
      </c>
      <c r="C54" s="54">
        <f>F42</f>
        <v>5</v>
      </c>
      <c r="D54" s="4" t="s">
        <v>86</v>
      </c>
    </row>
    <row r="55" spans="1:9" ht="15.75" customHeight="1" x14ac:dyDescent="0.35">
      <c r="A55" s="4"/>
      <c r="C55" s="54">
        <f>F41</f>
        <v>12</v>
      </c>
      <c r="D55" s="4" t="s">
        <v>87</v>
      </c>
    </row>
    <row r="56" spans="1:9" ht="15.75" customHeight="1" x14ac:dyDescent="0.35">
      <c r="A56" s="4" t="s">
        <v>88</v>
      </c>
      <c r="C56" s="55">
        <f>(C54*(B39-B40)+C55*B40)/(1+'Main hypotheses'!C26)</f>
        <v>109392.43807040417</v>
      </c>
      <c r="D56" s="4" t="s">
        <v>67</v>
      </c>
    </row>
    <row r="57" spans="1:9" ht="15.75" customHeight="1" x14ac:dyDescent="0.35">
      <c r="A57" s="4" t="s">
        <v>89</v>
      </c>
      <c r="C57" s="56">
        <f>IF(C56&gt;C53,C56-C53,0)</f>
        <v>0</v>
      </c>
      <c r="D57" s="4" t="s">
        <v>67</v>
      </c>
    </row>
    <row r="58" spans="1:9" ht="15.75" customHeight="1" x14ac:dyDescent="0.55000000000000004">
      <c r="A58" s="4" t="s">
        <v>90</v>
      </c>
      <c r="C58" s="57">
        <f>IF(C56&lt;C53,C56-C53,0)</f>
        <v>-140157.56192959583</v>
      </c>
      <c r="D58" s="4" t="s">
        <v>67</v>
      </c>
      <c r="E58" s="27">
        <f>C58/D18</f>
        <v>-0.56164120188177047</v>
      </c>
    </row>
    <row r="59" spans="1:9" ht="15.75" customHeight="1" x14ac:dyDescent="0.35">
      <c r="A59" s="4"/>
    </row>
    <row r="60" spans="1:9" ht="15.75" customHeight="1" x14ac:dyDescent="0.35">
      <c r="A60" s="58"/>
    </row>
    <row r="61" spans="1:9" ht="15.75" customHeight="1" x14ac:dyDescent="0.35">
      <c r="A61" s="58"/>
    </row>
    <row r="62" spans="1:9" ht="15.75" customHeight="1" x14ac:dyDescent="0.35">
      <c r="A62" s="58"/>
    </row>
    <row r="63" spans="1:9" ht="15.75" customHeight="1" x14ac:dyDescent="0.35">
      <c r="A63" s="58"/>
    </row>
    <row r="64" spans="1:9" ht="15.75" customHeight="1" x14ac:dyDescent="0.35">
      <c r="A64" s="58"/>
    </row>
    <row r="65" spans="1:6" ht="15.75" customHeight="1" x14ac:dyDescent="0.35">
      <c r="A65" s="58"/>
    </row>
    <row r="66" spans="1:6" ht="15.75" customHeight="1" x14ac:dyDescent="0.35">
      <c r="F66" s="4"/>
    </row>
    <row r="67" spans="1:6" ht="15.75" customHeight="1" x14ac:dyDescent="0.35"/>
    <row r="68" spans="1:6" ht="15.75" customHeight="1" x14ac:dyDescent="0.35"/>
    <row r="69" spans="1:6" ht="15.75" customHeight="1" x14ac:dyDescent="0.35"/>
    <row r="70" spans="1:6" ht="15.75" customHeight="1" x14ac:dyDescent="0.35"/>
    <row r="71" spans="1:6" ht="15.75" customHeight="1" x14ac:dyDescent="0.35"/>
    <row r="72" spans="1:6" ht="15.75" customHeight="1" x14ac:dyDescent="0.35"/>
    <row r="73" spans="1:6" ht="15.75" customHeight="1" x14ac:dyDescent="0.35"/>
    <row r="74" spans="1:6" ht="15.75" customHeight="1" x14ac:dyDescent="0.35"/>
    <row r="75" spans="1:6" ht="15.75" customHeight="1" x14ac:dyDescent="0.35"/>
    <row r="76" spans="1:6" ht="15.75" customHeight="1" x14ac:dyDescent="0.35"/>
    <row r="77" spans="1:6" ht="15.75" customHeight="1" x14ac:dyDescent="0.35"/>
    <row r="78" spans="1:6" ht="15.75" customHeight="1" x14ac:dyDescent="0.35"/>
    <row r="79" spans="1:6" ht="15.75" customHeight="1" x14ac:dyDescent="0.35"/>
    <row r="80" spans="1:6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  <row r="1006" ht="15.75" customHeight="1" x14ac:dyDescent="0.35"/>
    <row r="1007" ht="15.75" customHeight="1" x14ac:dyDescent="0.35"/>
    <row r="1008" ht="15.75" customHeight="1" x14ac:dyDescent="0.35"/>
    <row r="1009" ht="15.75" customHeight="1" x14ac:dyDescent="0.35"/>
    <row r="1010" ht="15.75" customHeight="1" x14ac:dyDescent="0.35"/>
    <row r="1011" ht="15.75" customHeight="1" x14ac:dyDescent="0.35"/>
    <row r="1012" ht="15.75" customHeight="1" x14ac:dyDescent="0.35"/>
    <row r="1013" ht="15.75" customHeight="1" x14ac:dyDescent="0.35"/>
    <row r="1014" ht="15.75" customHeight="1" x14ac:dyDescent="0.35"/>
    <row r="1015" ht="15.75" customHeight="1" x14ac:dyDescent="0.35"/>
    <row r="1016" ht="15.75" customHeight="1" x14ac:dyDescent="0.35"/>
    <row r="1017" ht="15.75" customHeight="1" x14ac:dyDescent="0.35"/>
    <row r="1018" ht="15.75" customHeight="1" x14ac:dyDescent="0.35"/>
    <row r="1019" ht="15.75" customHeight="1" x14ac:dyDescent="0.35"/>
    <row r="1020" ht="15.75" customHeight="1" x14ac:dyDescent="0.35"/>
    <row r="1021" ht="15.75" customHeight="1" x14ac:dyDescent="0.35"/>
    <row r="1022" ht="15.75" customHeight="1" x14ac:dyDescent="0.35"/>
    <row r="1023" ht="15.75" customHeight="1" x14ac:dyDescent="0.35"/>
    <row r="1024" ht="15.75" customHeight="1" x14ac:dyDescent="0.35"/>
    <row r="1025" ht="15.75" customHeight="1" x14ac:dyDescent="0.35"/>
    <row r="1026" ht="15.75" customHeight="1" x14ac:dyDescent="0.35"/>
    <row r="1027" ht="15.75" customHeight="1" x14ac:dyDescent="0.3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27"/>
  <sheetViews>
    <sheetView workbookViewId="0"/>
  </sheetViews>
  <sheetFormatPr defaultColWidth="11.25" defaultRowHeight="15" customHeight="1" x14ac:dyDescent="0.35"/>
  <cols>
    <col min="1" max="1" width="29.58203125" customWidth="1"/>
    <col min="2" max="2" width="13.33203125" customWidth="1"/>
    <col min="3" max="3" width="15.08203125" customWidth="1"/>
    <col min="4" max="4" width="13.5" customWidth="1"/>
    <col min="5" max="5" width="31.25" customWidth="1"/>
    <col min="6" max="6" width="10.5" customWidth="1"/>
    <col min="7" max="7" width="11.75" customWidth="1"/>
    <col min="8" max="8" width="10.5" customWidth="1"/>
    <col min="9" max="9" width="27.5" customWidth="1"/>
    <col min="10" max="26" width="10.5" customWidth="1"/>
  </cols>
  <sheetData>
    <row r="1" spans="1:6" ht="15.75" customHeight="1" x14ac:dyDescent="0.35">
      <c r="A1" s="96" t="s">
        <v>35</v>
      </c>
    </row>
    <row r="2" spans="1:6" ht="15.75" customHeight="1" x14ac:dyDescent="0.35">
      <c r="A2" s="2" t="str">
        <f>'Main hypotheses'!B2</f>
        <v>Element</v>
      </c>
      <c r="B2" s="3" t="str">
        <f>'Main hypotheses'!C2</f>
        <v>Yearly Amount</v>
      </c>
      <c r="C2" s="96" t="s">
        <v>36</v>
      </c>
      <c r="D2" s="2" t="s">
        <v>37</v>
      </c>
    </row>
    <row r="3" spans="1:6" ht="15.75" customHeight="1" x14ac:dyDescent="0.35">
      <c r="A3" s="4" t="str">
        <f>'Main hypotheses'!B3</f>
        <v>Space rental</v>
      </c>
      <c r="B3" s="11">
        <f>'Main hypotheses'!C3</f>
        <v>24000</v>
      </c>
      <c r="C3" s="96">
        <v>0.5</v>
      </c>
      <c r="D3" s="11">
        <f t="shared" ref="D3:D11" si="0">B3*C3</f>
        <v>12000</v>
      </c>
    </row>
    <row r="4" spans="1:6" ht="15.75" customHeight="1" x14ac:dyDescent="0.35">
      <c r="A4" s="4" t="str">
        <f>'Main hypotheses'!B4</f>
        <v>Vehicle rental</v>
      </c>
      <c r="B4" s="11">
        <f>'Main hypotheses'!C4</f>
        <v>7200</v>
      </c>
      <c r="C4" s="96">
        <v>0.5</v>
      </c>
      <c r="D4" s="11">
        <f t="shared" si="0"/>
        <v>3600</v>
      </c>
      <c r="E4" s="43" t="s">
        <v>91</v>
      </c>
      <c r="F4" s="43"/>
    </row>
    <row r="5" spans="1:6" ht="15.75" customHeight="1" x14ac:dyDescent="0.35">
      <c r="A5" s="4" t="str">
        <f>'Main hypotheses'!B5</f>
        <v>Administrative person</v>
      </c>
      <c r="B5" s="11">
        <f>'Main hypotheses'!C5</f>
        <v>55000</v>
      </c>
      <c r="C5" s="96">
        <v>0.1</v>
      </c>
      <c r="D5" s="11">
        <f t="shared" si="0"/>
        <v>5500</v>
      </c>
    </row>
    <row r="6" spans="1:6" ht="15.75" customHeight="1" x14ac:dyDescent="0.35">
      <c r="A6" s="4" t="str">
        <f>'Main hypotheses'!B6</f>
        <v>Specialist engineer</v>
      </c>
      <c r="B6" s="11">
        <f>'Main hypotheses'!C6</f>
        <v>75000</v>
      </c>
      <c r="C6" s="96">
        <v>0</v>
      </c>
      <c r="D6" s="11">
        <f t="shared" si="0"/>
        <v>0</v>
      </c>
    </row>
    <row r="7" spans="1:6" ht="15.75" customHeight="1" x14ac:dyDescent="0.35">
      <c r="A7" s="4" t="str">
        <f>'Main hypotheses'!B7</f>
        <v>Senior repair person</v>
      </c>
      <c r="B7" s="11">
        <f>'Main hypotheses'!C7</f>
        <v>65000</v>
      </c>
      <c r="C7" s="96">
        <v>1</v>
      </c>
      <c r="D7" s="11">
        <f t="shared" si="0"/>
        <v>65000</v>
      </c>
    </row>
    <row r="8" spans="1:6" ht="15.75" customHeight="1" x14ac:dyDescent="0.35">
      <c r="A8" s="4" t="str">
        <f>'Main hypotheses'!B8</f>
        <v>Junior repair person</v>
      </c>
      <c r="B8" s="11">
        <f>'Main hypotheses'!C8</f>
        <v>48000</v>
      </c>
      <c r="C8" s="96">
        <v>0</v>
      </c>
      <c r="D8" s="11">
        <f t="shared" si="0"/>
        <v>0</v>
      </c>
    </row>
    <row r="9" spans="1:6" ht="15.75" customHeight="1" x14ac:dyDescent="0.35">
      <c r="A9" s="4" t="str">
        <f>'Main hypotheses'!B9</f>
        <v>Benevolent repair person</v>
      </c>
      <c r="B9" s="11">
        <f>'Main hypotheses'!C9</f>
        <v>3000</v>
      </c>
      <c r="C9" s="96">
        <v>0</v>
      </c>
      <c r="D9" s="11">
        <f t="shared" si="0"/>
        <v>0</v>
      </c>
    </row>
    <row r="10" spans="1:6" ht="15.75" customHeight="1" x14ac:dyDescent="0.35">
      <c r="A10" s="4" t="str">
        <f>'Main hypotheses'!B10</f>
        <v>Coach/animator</v>
      </c>
      <c r="B10" s="11">
        <f>'Main hypotheses'!C10</f>
        <v>55000</v>
      </c>
      <c r="C10" s="96">
        <v>0</v>
      </c>
      <c r="D10" s="11">
        <f t="shared" si="0"/>
        <v>0</v>
      </c>
    </row>
    <row r="11" spans="1:6" ht="15.75" customHeight="1" x14ac:dyDescent="0.35">
      <c r="A11" s="4" t="str">
        <f>'Main hypotheses'!B11</f>
        <v>Communication manager</v>
      </c>
      <c r="B11" s="11">
        <f>'Main hypotheses'!C11</f>
        <v>60000</v>
      </c>
      <c r="C11" s="96">
        <v>0.1</v>
      </c>
      <c r="D11" s="11">
        <f t="shared" si="0"/>
        <v>6000</v>
      </c>
    </row>
    <row r="12" spans="1:6" ht="15.75" customHeight="1" x14ac:dyDescent="0.35">
      <c r="A12" s="4" t="str">
        <f>'Main hypotheses'!B12</f>
        <v>Overhead cost on personnel</v>
      </c>
      <c r="B12" s="12">
        <f>'Main hypotheses'!C12</f>
        <v>0.1</v>
      </c>
      <c r="C12" s="96">
        <v>1</v>
      </c>
      <c r="D12" s="11">
        <f>B12*SUM(D5:D11)*C12</f>
        <v>7650</v>
      </c>
    </row>
    <row r="13" spans="1:6" ht="15.75" customHeight="1" x14ac:dyDescent="0.35">
      <c r="A13" s="4" t="str">
        <f>'Main hypotheses'!B13</f>
        <v>Energy (heating, elec…)</v>
      </c>
      <c r="B13" s="11">
        <f>'Main hypotheses'!C13</f>
        <v>6000</v>
      </c>
      <c r="C13" s="96">
        <v>0</v>
      </c>
      <c r="D13" s="11">
        <f t="shared" ref="D13:D17" si="1">B13*C13</f>
        <v>0</v>
      </c>
    </row>
    <row r="14" spans="1:6" ht="15.75" customHeight="1" x14ac:dyDescent="0.35">
      <c r="A14" s="4" t="str">
        <f>'Main hypotheses'!B14</f>
        <v>Administration</v>
      </c>
      <c r="B14" s="11">
        <f>'Main hypotheses'!C14</f>
        <v>5000</v>
      </c>
      <c r="C14" s="96">
        <v>1</v>
      </c>
      <c r="D14" s="11">
        <f t="shared" si="1"/>
        <v>5000</v>
      </c>
    </row>
    <row r="15" spans="1:6" ht="15.75" customHeight="1" x14ac:dyDescent="0.35">
      <c r="A15" s="4" t="str">
        <f>'Main hypotheses'!B15</f>
        <v>Communication (Internet, email…)</v>
      </c>
      <c r="B15" s="11">
        <f>'Main hypotheses'!C15</f>
        <v>1200</v>
      </c>
      <c r="C15" s="96">
        <v>1</v>
      </c>
      <c r="D15" s="11">
        <f t="shared" si="1"/>
        <v>1200</v>
      </c>
    </row>
    <row r="16" spans="1:6" ht="15.75" customHeight="1" x14ac:dyDescent="0.35">
      <c r="A16" s="4" t="str">
        <f>'Main hypotheses'!B16</f>
        <v>Communication material</v>
      </c>
      <c r="B16" s="11">
        <f>'Main hypotheses'!C16</f>
        <v>3000</v>
      </c>
      <c r="C16" s="96">
        <v>1</v>
      </c>
      <c r="D16" s="11">
        <f t="shared" si="1"/>
        <v>3000</v>
      </c>
    </row>
    <row r="17" spans="1:7" ht="15.75" customHeight="1" x14ac:dyDescent="0.35">
      <c r="A17" s="4" t="str">
        <f>'Main hypotheses'!B17</f>
        <v>Tools</v>
      </c>
      <c r="B17" s="11">
        <f>'Main hypotheses'!C17</f>
        <v>3000</v>
      </c>
      <c r="C17" s="96">
        <v>0.5</v>
      </c>
      <c r="D17" s="11">
        <f t="shared" si="1"/>
        <v>1500</v>
      </c>
    </row>
    <row r="18" spans="1:7" ht="15.75" customHeight="1" x14ac:dyDescent="0.35">
      <c r="C18" s="13" t="s">
        <v>38</v>
      </c>
      <c r="D18" s="14">
        <f>SUM(D3:D17)</f>
        <v>110450</v>
      </c>
    </row>
    <row r="19" spans="1:7" ht="15.75" customHeight="1" x14ac:dyDescent="0.35"/>
    <row r="20" spans="1:7" ht="15.75" customHeight="1" x14ac:dyDescent="0.35">
      <c r="A20" s="2" t="s">
        <v>39</v>
      </c>
    </row>
    <row r="21" spans="1:7" ht="15.75" customHeight="1" x14ac:dyDescent="0.35">
      <c r="A21" s="4">
        <f t="shared" ref="A21:A24" si="2">C6</f>
        <v>0</v>
      </c>
      <c r="B21" s="4" t="str">
        <f t="shared" ref="B21:B24" si="3">A6</f>
        <v>Specialist engineer</v>
      </c>
    </row>
    <row r="22" spans="1:7" ht="15.75" customHeight="1" x14ac:dyDescent="0.35">
      <c r="A22" s="4">
        <f t="shared" si="2"/>
        <v>1</v>
      </c>
      <c r="B22" s="4" t="str">
        <f t="shared" si="3"/>
        <v>Senior repair person</v>
      </c>
    </row>
    <row r="23" spans="1:7" ht="15.75" customHeight="1" x14ac:dyDescent="0.35">
      <c r="A23" s="4">
        <f t="shared" si="2"/>
        <v>0</v>
      </c>
      <c r="B23" s="4" t="str">
        <f t="shared" si="3"/>
        <v>Junior repair person</v>
      </c>
    </row>
    <row r="24" spans="1:7" ht="15.75" customHeight="1" x14ac:dyDescent="0.35">
      <c r="A24" s="4">
        <f t="shared" si="2"/>
        <v>0</v>
      </c>
      <c r="B24" s="4" t="str">
        <f t="shared" si="3"/>
        <v>Benevolent repair person</v>
      </c>
    </row>
    <row r="25" spans="1:7" ht="15.75" customHeight="1" x14ac:dyDescent="0.35">
      <c r="A25" s="15">
        <v>0.7</v>
      </c>
      <c r="B25" s="16" t="s">
        <v>92</v>
      </c>
    </row>
    <row r="26" spans="1:7" ht="15.75" customHeight="1" x14ac:dyDescent="0.35">
      <c r="A26" s="13">
        <f>SUM(A21:A24)*A25</f>
        <v>0.7</v>
      </c>
      <c r="B26" s="17" t="s">
        <v>38</v>
      </c>
      <c r="C26" s="18" t="s">
        <v>41</v>
      </c>
      <c r="D26" s="19">
        <f>D18/A27</f>
        <v>1.5728241057188428</v>
      </c>
      <c r="E26" s="20" t="s">
        <v>42</v>
      </c>
      <c r="F26" s="5"/>
      <c r="G26" s="5"/>
    </row>
    <row r="27" spans="1:7" ht="15.75" customHeight="1" x14ac:dyDescent="0.35">
      <c r="A27" s="4">
        <f>A26*220*7.6*60</f>
        <v>70223.999999999985</v>
      </c>
      <c r="B27" s="4" t="s">
        <v>43</v>
      </c>
      <c r="C27" s="4" t="s">
        <v>44</v>
      </c>
      <c r="F27" s="53"/>
      <c r="G27" s="5"/>
    </row>
    <row r="28" spans="1:7" ht="15.75" customHeight="1" x14ac:dyDescent="0.35">
      <c r="A28" s="22"/>
      <c r="F28" s="5"/>
      <c r="G28" s="5"/>
    </row>
    <row r="29" spans="1:7" ht="15.75" customHeight="1" x14ac:dyDescent="0.35">
      <c r="A29" s="23" t="s">
        <v>45</v>
      </c>
      <c r="B29" s="24" t="s">
        <v>46</v>
      </c>
      <c r="C29" s="25" t="s">
        <v>47</v>
      </c>
      <c r="D29" s="97"/>
      <c r="F29" s="5"/>
      <c r="G29" s="5"/>
    </row>
    <row r="30" spans="1:7" ht="15.75" customHeight="1" x14ac:dyDescent="0.35">
      <c r="A30" s="26" t="s">
        <v>48</v>
      </c>
      <c r="B30" s="27">
        <f>10/75*0.37</f>
        <v>4.9333333333333333E-2</v>
      </c>
      <c r="C30" s="28">
        <v>30</v>
      </c>
      <c r="F30" s="5"/>
      <c r="G30" s="5"/>
    </row>
    <row r="31" spans="1:7" ht="15.75" customHeight="1" x14ac:dyDescent="0.35">
      <c r="A31" s="26" t="s">
        <v>49</v>
      </c>
      <c r="B31" s="27">
        <f>13/75*0.37</f>
        <v>6.4133333333333334E-2</v>
      </c>
      <c r="C31" s="28">
        <v>45</v>
      </c>
      <c r="F31" s="5"/>
      <c r="G31" s="5"/>
    </row>
    <row r="32" spans="1:7" ht="15.75" customHeight="1" x14ac:dyDescent="0.35">
      <c r="A32" s="26" t="s">
        <v>50</v>
      </c>
      <c r="B32" s="27">
        <f>52/75*0.37</f>
        <v>0.25653333333333334</v>
      </c>
      <c r="C32" s="28">
        <v>45</v>
      </c>
      <c r="F32" s="5"/>
      <c r="G32" s="5"/>
    </row>
    <row r="33" spans="1:9" ht="15.75" customHeight="1" x14ac:dyDescent="0.35">
      <c r="A33" s="26" t="s">
        <v>51</v>
      </c>
      <c r="B33" s="27">
        <f>16/126*0.63</f>
        <v>0.08</v>
      </c>
      <c r="C33" s="28">
        <v>20</v>
      </c>
      <c r="F33" s="5"/>
      <c r="G33" s="5"/>
    </row>
    <row r="34" spans="1:9" ht="15.75" customHeight="1" x14ac:dyDescent="0.35">
      <c r="A34" s="29" t="s">
        <v>52</v>
      </c>
      <c r="B34" s="30">
        <f>110/126*0.63</f>
        <v>0.55000000000000004</v>
      </c>
      <c r="C34" s="31">
        <v>10</v>
      </c>
      <c r="F34" s="5"/>
      <c r="G34" s="5"/>
    </row>
    <row r="35" spans="1:9" ht="15.75" customHeight="1" x14ac:dyDescent="0.35">
      <c r="A35" s="4" t="s">
        <v>53</v>
      </c>
      <c r="B35" s="27">
        <f>SUM(B30:B34)</f>
        <v>1</v>
      </c>
      <c r="C35" s="22">
        <f>SUMPRODUCT(B30:B34,C30:C34)</f>
        <v>23.01</v>
      </c>
      <c r="F35" s="5"/>
      <c r="G35" s="5"/>
    </row>
    <row r="36" spans="1:9" ht="15.75" customHeight="1" x14ac:dyDescent="0.35">
      <c r="F36" s="5"/>
      <c r="G36" s="5"/>
    </row>
    <row r="37" spans="1:9" ht="15.75" customHeight="1" x14ac:dyDescent="0.35">
      <c r="F37" s="5"/>
      <c r="G37" s="5"/>
    </row>
    <row r="38" spans="1:9" ht="15.75" customHeight="1" x14ac:dyDescent="0.35">
      <c r="A38" s="32" t="s">
        <v>54</v>
      </c>
      <c r="B38" s="33"/>
      <c r="C38" s="34"/>
      <c r="E38" s="32" t="s">
        <v>55</v>
      </c>
      <c r="F38" s="33"/>
      <c r="G38" s="34"/>
    </row>
    <row r="39" spans="1:9" ht="15.75" customHeight="1" x14ac:dyDescent="0.35">
      <c r="A39" s="35" t="s">
        <v>56</v>
      </c>
      <c r="B39" s="36">
        <f>A27/C35</f>
        <v>3051.890482398956</v>
      </c>
      <c r="C39" s="37"/>
      <c r="E39" s="35" t="s">
        <v>57</v>
      </c>
      <c r="F39" s="38">
        <v>100</v>
      </c>
      <c r="G39" s="39" t="s">
        <v>58</v>
      </c>
    </row>
    <row r="40" spans="1:9" ht="15.75" customHeight="1" x14ac:dyDescent="0.35">
      <c r="A40" s="35" t="s">
        <v>59</v>
      </c>
      <c r="B40" s="40">
        <f>B39*SUM(B30:B32)</f>
        <v>1129.1994784876138</v>
      </c>
      <c r="C40" s="37"/>
      <c r="E40" s="35" t="s">
        <v>60</v>
      </c>
      <c r="F40" s="41">
        <v>0.25</v>
      </c>
      <c r="G40" s="37" t="s">
        <v>61</v>
      </c>
    </row>
    <row r="41" spans="1:9" ht="15.75" customHeight="1" x14ac:dyDescent="0.35">
      <c r="A41" s="35" t="s">
        <v>62</v>
      </c>
      <c r="B41" s="42">
        <v>5</v>
      </c>
      <c r="C41" s="39" t="s">
        <v>63</v>
      </c>
      <c r="D41" s="43" t="s">
        <v>64</v>
      </c>
      <c r="E41" s="35" t="s">
        <v>65</v>
      </c>
      <c r="F41" s="44">
        <f>F39*F40</f>
        <v>25</v>
      </c>
      <c r="G41" s="39" t="s">
        <v>58</v>
      </c>
    </row>
    <row r="42" spans="1:9" ht="15.75" customHeight="1" x14ac:dyDescent="0.35">
      <c r="A42" s="35" t="s">
        <v>66</v>
      </c>
      <c r="B42" s="11">
        <f>B41*B39*SUM(B33:B34)/(1+'Main hypotheses'!C26)</f>
        <v>7945.0041483939767</v>
      </c>
      <c r="C42" s="37" t="s">
        <v>67</v>
      </c>
      <c r="D42" s="45" t="s">
        <v>68</v>
      </c>
      <c r="E42" s="35" t="s">
        <v>69</v>
      </c>
      <c r="F42" s="42">
        <v>5</v>
      </c>
      <c r="G42" s="39" t="s">
        <v>58</v>
      </c>
    </row>
    <row r="43" spans="1:9" ht="15.75" customHeight="1" x14ac:dyDescent="0.35">
      <c r="A43" s="35" t="s">
        <v>70</v>
      </c>
      <c r="B43" s="11">
        <f>D18-B42</f>
        <v>102504.99585160603</v>
      </c>
      <c r="C43" s="37" t="s">
        <v>67</v>
      </c>
      <c r="D43" s="5"/>
      <c r="E43" s="35" t="s">
        <v>71</v>
      </c>
      <c r="F43" s="46">
        <f>F42*SUM(B33:B34)+F41*SUM(B30:B32)</f>
        <v>12.4</v>
      </c>
      <c r="G43" s="37" t="s">
        <v>58</v>
      </c>
    </row>
    <row r="44" spans="1:9" ht="15.75" customHeight="1" x14ac:dyDescent="0.35">
      <c r="A44" s="35" t="s">
        <v>72</v>
      </c>
      <c r="B44" s="11">
        <f>B43/B40*(1+'Main hypotheses'!C21+'Main hypotheses'!C22)</f>
        <v>113.47086786306289</v>
      </c>
      <c r="C44" s="37" t="s">
        <v>73</v>
      </c>
      <c r="D44" s="5"/>
      <c r="E44" s="35" t="s">
        <v>74</v>
      </c>
      <c r="F44" s="40">
        <f>D18/F43*(1+'Main hypotheses'!C26)</f>
        <v>10777.782258064515</v>
      </c>
      <c r="G44" s="37"/>
    </row>
    <row r="45" spans="1:9" ht="15.75" customHeight="1" x14ac:dyDescent="0.35">
      <c r="A45" s="35"/>
      <c r="B45" s="47">
        <f>B44*(1+'Main hypotheses'!C26)</f>
        <v>137.29975011430611</v>
      </c>
      <c r="C45" s="37" t="s">
        <v>75</v>
      </c>
      <c r="D45" s="48"/>
      <c r="E45" s="35" t="s">
        <v>76</v>
      </c>
      <c r="F45" s="40">
        <f>F44*SUM(B30:B32)</f>
        <v>3987.7794354838707</v>
      </c>
      <c r="G45" s="37"/>
    </row>
    <row r="46" spans="1:9" ht="15.75" customHeight="1" x14ac:dyDescent="0.35">
      <c r="A46" s="35" t="s">
        <v>77</v>
      </c>
      <c r="B46" s="47">
        <f>B44*'Main hypotheses'!C21</f>
        <v>22.694173572612581</v>
      </c>
      <c r="C46" s="37" t="s">
        <v>78</v>
      </c>
      <c r="E46" s="35" t="s">
        <v>79</v>
      </c>
      <c r="F46" s="49">
        <f>A27/F45</f>
        <v>17.609800425554159</v>
      </c>
      <c r="G46" s="37"/>
    </row>
    <row r="47" spans="1:9" ht="15.75" customHeight="1" x14ac:dyDescent="0.35">
      <c r="A47" s="50" t="s">
        <v>80</v>
      </c>
      <c r="B47" s="51">
        <f>B44*'Main hypotheses'!C22</f>
        <v>5.6735433931531452</v>
      </c>
      <c r="C47" s="52" t="s">
        <v>78</v>
      </c>
      <c r="E47" s="35" t="s">
        <v>77</v>
      </c>
      <c r="F47" s="47">
        <f>F41*'Main hypotheses'!C21*(1-'Main hypotheses'!C26)</f>
        <v>3.95</v>
      </c>
      <c r="G47" s="37" t="s">
        <v>78</v>
      </c>
      <c r="H47" s="4"/>
      <c r="I47" s="4"/>
    </row>
    <row r="48" spans="1:9" ht="15.75" customHeight="1" x14ac:dyDescent="0.35">
      <c r="E48" s="50" t="s">
        <v>80</v>
      </c>
      <c r="F48" s="51">
        <f>F41*'Main hypotheses'!C22*(1-'Main hypotheses'!C26)</f>
        <v>0.98750000000000004</v>
      </c>
      <c r="G48" s="52" t="s">
        <v>78</v>
      </c>
      <c r="H48" s="27"/>
      <c r="I48" s="4"/>
    </row>
    <row r="49" spans="1:9" ht="15.75" customHeight="1" x14ac:dyDescent="0.35">
      <c r="H49" s="27"/>
      <c r="I49" s="4"/>
    </row>
    <row r="50" spans="1:9" ht="15.75" customHeight="1" x14ac:dyDescent="0.35">
      <c r="A50" s="5"/>
      <c r="B50" s="53"/>
      <c r="C50" s="5"/>
      <c r="H50" s="27"/>
      <c r="I50" s="4"/>
    </row>
    <row r="51" spans="1:9" ht="15.75" customHeight="1" x14ac:dyDescent="0.35">
      <c r="A51" s="98" t="s">
        <v>81</v>
      </c>
      <c r="B51" s="53"/>
      <c r="C51" s="5"/>
      <c r="F51" s="4"/>
      <c r="G51" s="4"/>
      <c r="H51" s="27"/>
      <c r="I51" s="4"/>
    </row>
    <row r="52" spans="1:9" ht="15.75" customHeight="1" x14ac:dyDescent="0.35">
      <c r="A52" s="5" t="s">
        <v>82</v>
      </c>
      <c r="B52" s="53"/>
      <c r="C52" s="4">
        <f>C35</f>
        <v>23.01</v>
      </c>
      <c r="D52" s="4" t="s">
        <v>83</v>
      </c>
      <c r="F52" s="4"/>
      <c r="H52" s="27"/>
      <c r="I52" s="4"/>
    </row>
    <row r="53" spans="1:9" ht="15.75" customHeight="1" x14ac:dyDescent="0.35">
      <c r="A53" s="4" t="s">
        <v>84</v>
      </c>
      <c r="C53" s="54">
        <f>D18</f>
        <v>110450</v>
      </c>
      <c r="D53" s="4" t="s">
        <v>67</v>
      </c>
    </row>
    <row r="54" spans="1:9" ht="15.75" customHeight="1" x14ac:dyDescent="0.35">
      <c r="A54" s="4" t="s">
        <v>85</v>
      </c>
      <c r="C54" s="54">
        <f>F42</f>
        <v>5</v>
      </c>
      <c r="D54" s="4" t="s">
        <v>86</v>
      </c>
    </row>
    <row r="55" spans="1:9" ht="15.75" customHeight="1" x14ac:dyDescent="0.35">
      <c r="A55" s="4"/>
      <c r="C55" s="54">
        <f>F41</f>
        <v>25</v>
      </c>
      <c r="D55" s="4" t="s">
        <v>87</v>
      </c>
    </row>
    <row r="56" spans="1:9" ht="15.75" customHeight="1" x14ac:dyDescent="0.35">
      <c r="A56" s="4" t="s">
        <v>88</v>
      </c>
      <c r="C56" s="55">
        <f>(C54*(B39-B40)+C55*B40)/(1+'Main hypotheses'!C26)</f>
        <v>31275.57188574137</v>
      </c>
      <c r="D56" s="4" t="s">
        <v>67</v>
      </c>
    </row>
    <row r="57" spans="1:9" ht="15.75" customHeight="1" x14ac:dyDescent="0.35">
      <c r="A57" s="4" t="s">
        <v>89</v>
      </c>
      <c r="C57" s="56">
        <f>IF(C56&gt;C53,C56-C53,0)</f>
        <v>0</v>
      </c>
      <c r="D57" s="4" t="s">
        <v>67</v>
      </c>
    </row>
    <row r="58" spans="1:9" ht="15.75" customHeight="1" x14ac:dyDescent="0.55000000000000004">
      <c r="A58" s="4" t="s">
        <v>90</v>
      </c>
      <c r="C58" s="57">
        <f>IF(C56&lt;C53,C56-C53,0)</f>
        <v>-79174.428114258626</v>
      </c>
      <c r="D58" s="4" t="s">
        <v>67</v>
      </c>
      <c r="E58" s="27">
        <f>C58/D18</f>
        <v>-0.71683502140569155</v>
      </c>
    </row>
    <row r="59" spans="1:9" ht="15.75" customHeight="1" x14ac:dyDescent="0.35">
      <c r="A59" s="4"/>
    </row>
    <row r="60" spans="1:9" ht="15.75" customHeight="1" x14ac:dyDescent="0.35">
      <c r="A60" s="4"/>
    </row>
    <row r="61" spans="1:9" ht="15.75" customHeight="1" x14ac:dyDescent="0.35"/>
    <row r="62" spans="1:9" ht="15.75" customHeight="1" x14ac:dyDescent="0.35">
      <c r="A62" s="4"/>
    </row>
    <row r="63" spans="1:9" ht="15.75" customHeight="1" x14ac:dyDescent="0.35">
      <c r="A63" s="4"/>
    </row>
    <row r="64" spans="1:9" ht="15.75" customHeight="1" x14ac:dyDescent="0.35"/>
    <row r="65" spans="6:6" ht="15.75" customHeight="1" x14ac:dyDescent="0.35"/>
    <row r="66" spans="6:6" ht="15.75" customHeight="1" x14ac:dyDescent="0.35">
      <c r="F66" s="4"/>
    </row>
    <row r="67" spans="6:6" ht="15.75" customHeight="1" x14ac:dyDescent="0.35"/>
    <row r="68" spans="6:6" ht="15.75" customHeight="1" x14ac:dyDescent="0.35"/>
    <row r="69" spans="6:6" ht="15.75" customHeight="1" x14ac:dyDescent="0.35"/>
    <row r="70" spans="6:6" ht="15.75" customHeight="1" x14ac:dyDescent="0.35"/>
    <row r="71" spans="6:6" ht="15.75" customHeight="1" x14ac:dyDescent="0.35"/>
    <row r="72" spans="6:6" ht="15.75" customHeight="1" x14ac:dyDescent="0.35"/>
    <row r="73" spans="6:6" ht="15.75" customHeight="1" x14ac:dyDescent="0.35"/>
    <row r="74" spans="6:6" ht="15.75" customHeight="1" x14ac:dyDescent="0.35"/>
    <row r="75" spans="6:6" ht="15.75" customHeight="1" x14ac:dyDescent="0.35"/>
    <row r="76" spans="6:6" ht="15.75" customHeight="1" x14ac:dyDescent="0.35"/>
    <row r="77" spans="6:6" ht="15.75" customHeight="1" x14ac:dyDescent="0.35"/>
    <row r="78" spans="6:6" ht="15.75" customHeight="1" x14ac:dyDescent="0.35"/>
    <row r="79" spans="6:6" ht="15.75" customHeight="1" x14ac:dyDescent="0.35"/>
    <row r="80" spans="6:6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  <row r="1006" ht="15.75" customHeight="1" x14ac:dyDescent="0.35"/>
    <row r="1007" ht="15.75" customHeight="1" x14ac:dyDescent="0.35"/>
    <row r="1008" ht="15.75" customHeight="1" x14ac:dyDescent="0.35"/>
    <row r="1009" ht="15.75" customHeight="1" x14ac:dyDescent="0.35"/>
    <row r="1010" ht="15.75" customHeight="1" x14ac:dyDescent="0.35"/>
    <row r="1011" ht="15.75" customHeight="1" x14ac:dyDescent="0.35"/>
    <row r="1012" ht="15.75" customHeight="1" x14ac:dyDescent="0.35"/>
    <row r="1013" ht="15.75" customHeight="1" x14ac:dyDescent="0.35"/>
    <row r="1014" ht="15.75" customHeight="1" x14ac:dyDescent="0.35"/>
    <row r="1015" ht="15.75" customHeight="1" x14ac:dyDescent="0.35"/>
    <row r="1016" ht="15.75" customHeight="1" x14ac:dyDescent="0.35"/>
    <row r="1017" ht="15.75" customHeight="1" x14ac:dyDescent="0.35"/>
    <row r="1018" ht="15.75" customHeight="1" x14ac:dyDescent="0.35"/>
    <row r="1019" ht="15.75" customHeight="1" x14ac:dyDescent="0.35"/>
    <row r="1020" ht="15.75" customHeight="1" x14ac:dyDescent="0.35"/>
    <row r="1021" ht="15.75" customHeight="1" x14ac:dyDescent="0.35"/>
    <row r="1022" ht="15.75" customHeight="1" x14ac:dyDescent="0.35"/>
    <row r="1023" ht="15.75" customHeight="1" x14ac:dyDescent="0.35"/>
    <row r="1024" ht="15.75" customHeight="1" x14ac:dyDescent="0.35"/>
    <row r="1025" ht="15.75" customHeight="1" x14ac:dyDescent="0.35"/>
    <row r="1026" ht="15.75" customHeight="1" x14ac:dyDescent="0.35"/>
    <row r="1027" ht="15.75" customHeight="1" x14ac:dyDescent="0.3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07"/>
  <sheetViews>
    <sheetView workbookViewId="0"/>
  </sheetViews>
  <sheetFormatPr defaultColWidth="11.25" defaultRowHeight="15" customHeight="1" x14ac:dyDescent="0.35"/>
  <cols>
    <col min="1" max="1" width="31.5" customWidth="1"/>
    <col min="2" max="2" width="13.33203125" customWidth="1"/>
    <col min="3" max="3" width="10.5" customWidth="1"/>
    <col min="4" max="4" width="13.5" customWidth="1"/>
    <col min="5" max="5" width="29.75" customWidth="1"/>
    <col min="6" max="26" width="10.5" customWidth="1"/>
  </cols>
  <sheetData>
    <row r="1" spans="1:6" ht="15.75" customHeight="1" x14ac:dyDescent="0.35">
      <c r="A1" s="96" t="s">
        <v>35</v>
      </c>
    </row>
    <row r="2" spans="1:6" ht="15.75" customHeight="1" x14ac:dyDescent="0.35">
      <c r="A2" s="2" t="str">
        <f>'Main hypotheses'!B2</f>
        <v>Element</v>
      </c>
      <c r="B2" s="3" t="str">
        <f>'Main hypotheses'!C2</f>
        <v>Yearly Amount</v>
      </c>
      <c r="C2" s="96" t="s">
        <v>36</v>
      </c>
      <c r="D2" s="2" t="s">
        <v>37</v>
      </c>
    </row>
    <row r="3" spans="1:6" ht="15.75" customHeight="1" x14ac:dyDescent="0.35">
      <c r="A3" s="4" t="str">
        <f>'Main hypotheses'!B3</f>
        <v>Space rental</v>
      </c>
      <c r="B3" s="11">
        <f>'Main hypotheses'!C3</f>
        <v>24000</v>
      </c>
      <c r="C3" s="96">
        <v>2</v>
      </c>
      <c r="D3" s="11">
        <f t="shared" ref="D3:D11" si="0">B3*C3</f>
        <v>48000</v>
      </c>
    </row>
    <row r="4" spans="1:6" ht="15.75" customHeight="1" x14ac:dyDescent="0.35">
      <c r="A4" s="4" t="str">
        <f>'Main hypotheses'!B4</f>
        <v>Vehicle rental</v>
      </c>
      <c r="B4" s="11">
        <f>'Main hypotheses'!C4</f>
        <v>7200</v>
      </c>
      <c r="C4" s="96">
        <v>0</v>
      </c>
      <c r="D4" s="11">
        <f t="shared" si="0"/>
        <v>0</v>
      </c>
    </row>
    <row r="5" spans="1:6" ht="15.75" customHeight="1" x14ac:dyDescent="0.35">
      <c r="A5" s="4" t="str">
        <f>'Main hypotheses'!B5</f>
        <v>Administrative person</v>
      </c>
      <c r="B5" s="11">
        <f>'Main hypotheses'!C5</f>
        <v>55000</v>
      </c>
      <c r="C5" s="96">
        <v>0.5</v>
      </c>
      <c r="D5" s="11">
        <f t="shared" si="0"/>
        <v>27500</v>
      </c>
    </row>
    <row r="6" spans="1:6" ht="15.75" customHeight="1" x14ac:dyDescent="0.35">
      <c r="A6" s="4" t="str">
        <f>'Main hypotheses'!B6</f>
        <v>Specialist engineer</v>
      </c>
      <c r="B6" s="11">
        <f>'Main hypotheses'!C6</f>
        <v>75000</v>
      </c>
      <c r="C6" s="96">
        <v>0</v>
      </c>
      <c r="D6" s="11">
        <f t="shared" si="0"/>
        <v>0</v>
      </c>
    </row>
    <row r="7" spans="1:6" ht="15.75" customHeight="1" x14ac:dyDescent="0.35">
      <c r="A7" s="4" t="str">
        <f>'Main hypotheses'!B7</f>
        <v>Senior repair person</v>
      </c>
      <c r="B7" s="11">
        <f>'Main hypotheses'!C7</f>
        <v>65000</v>
      </c>
      <c r="C7" s="96">
        <v>0</v>
      </c>
      <c r="D7" s="11">
        <f t="shared" si="0"/>
        <v>0</v>
      </c>
    </row>
    <row r="8" spans="1:6" ht="15.75" customHeight="1" x14ac:dyDescent="0.35">
      <c r="A8" s="4" t="str">
        <f>'Main hypotheses'!B8</f>
        <v>Junior repair person</v>
      </c>
      <c r="B8" s="11">
        <f>'Main hypotheses'!C8</f>
        <v>48000</v>
      </c>
      <c r="C8" s="96">
        <v>0</v>
      </c>
      <c r="D8" s="11">
        <f t="shared" si="0"/>
        <v>0</v>
      </c>
    </row>
    <row r="9" spans="1:6" ht="15.75" customHeight="1" x14ac:dyDescent="0.35">
      <c r="A9" s="4" t="str">
        <f>'Main hypotheses'!B9</f>
        <v>Benevolent repair person</v>
      </c>
      <c r="B9" s="11">
        <f>'Main hypotheses'!C9</f>
        <v>3000</v>
      </c>
      <c r="C9" s="96">
        <v>0</v>
      </c>
      <c r="D9" s="11">
        <f t="shared" si="0"/>
        <v>0</v>
      </c>
    </row>
    <row r="10" spans="1:6" ht="15.75" customHeight="1" x14ac:dyDescent="0.35">
      <c r="A10" s="4" t="str">
        <f>'Main hypotheses'!B10</f>
        <v>Coach/animator</v>
      </c>
      <c r="B10" s="11">
        <f>'Main hypotheses'!C10</f>
        <v>55000</v>
      </c>
      <c r="C10" s="96">
        <v>3</v>
      </c>
      <c r="D10" s="11">
        <f t="shared" si="0"/>
        <v>165000</v>
      </c>
    </row>
    <row r="11" spans="1:6" ht="15.75" customHeight="1" x14ac:dyDescent="0.35">
      <c r="A11" s="4" t="str">
        <f>'Main hypotheses'!B11</f>
        <v>Communication manager</v>
      </c>
      <c r="B11" s="11">
        <f>'Main hypotheses'!C11</f>
        <v>60000</v>
      </c>
      <c r="C11" s="96">
        <v>1</v>
      </c>
      <c r="D11" s="11">
        <f t="shared" si="0"/>
        <v>60000</v>
      </c>
      <c r="E11" s="43" t="s">
        <v>93</v>
      </c>
      <c r="F11" s="43"/>
    </row>
    <row r="12" spans="1:6" ht="15.75" customHeight="1" x14ac:dyDescent="0.35">
      <c r="A12" s="4" t="str">
        <f>'Main hypotheses'!B12</f>
        <v>Overhead cost on personnel</v>
      </c>
      <c r="B12" s="12">
        <f>'Main hypotheses'!C12</f>
        <v>0.1</v>
      </c>
      <c r="C12" s="96">
        <v>1</v>
      </c>
      <c r="D12" s="11">
        <f>B12*SUM(D5:D11)*C12</f>
        <v>25250</v>
      </c>
    </row>
    <row r="13" spans="1:6" ht="15.75" customHeight="1" x14ac:dyDescent="0.35">
      <c r="A13" s="4" t="str">
        <f>'Main hypotheses'!B13</f>
        <v>Energy (heating, elec…)</v>
      </c>
      <c r="B13" s="11">
        <f>'Main hypotheses'!C13</f>
        <v>6000</v>
      </c>
      <c r="C13" s="96">
        <v>1</v>
      </c>
      <c r="D13" s="11">
        <f t="shared" ref="D13:D17" si="1">B13*C13</f>
        <v>6000</v>
      </c>
    </row>
    <row r="14" spans="1:6" ht="15.75" customHeight="1" x14ac:dyDescent="0.35">
      <c r="A14" s="4" t="str">
        <f>'Main hypotheses'!B14</f>
        <v>Administration</v>
      </c>
      <c r="B14" s="11">
        <f>'Main hypotheses'!C14</f>
        <v>5000</v>
      </c>
      <c r="C14" s="96">
        <v>1</v>
      </c>
      <c r="D14" s="11">
        <f t="shared" si="1"/>
        <v>5000</v>
      </c>
    </row>
    <row r="15" spans="1:6" ht="15.75" customHeight="1" x14ac:dyDescent="0.35">
      <c r="A15" s="4" t="str">
        <f>'Main hypotheses'!B15</f>
        <v>Communication (Internet, email…)</v>
      </c>
      <c r="B15" s="11">
        <f>'Main hypotheses'!C15</f>
        <v>1200</v>
      </c>
      <c r="C15" s="96">
        <v>1</v>
      </c>
      <c r="D15" s="11">
        <f t="shared" si="1"/>
        <v>1200</v>
      </c>
    </row>
    <row r="16" spans="1:6" ht="15.75" customHeight="1" x14ac:dyDescent="0.35">
      <c r="A16" s="4" t="str">
        <f>'Main hypotheses'!B16</f>
        <v>Communication material</v>
      </c>
      <c r="B16" s="11">
        <f>'Main hypotheses'!C16</f>
        <v>3000</v>
      </c>
      <c r="C16" s="96">
        <v>3</v>
      </c>
      <c r="D16" s="11">
        <f t="shared" si="1"/>
        <v>9000</v>
      </c>
      <c r="E16" s="43" t="s">
        <v>93</v>
      </c>
      <c r="F16" s="43"/>
    </row>
    <row r="17" spans="1:6" ht="15.75" customHeight="1" x14ac:dyDescent="0.35">
      <c r="A17" s="4" t="str">
        <f>'Main hypotheses'!B17</f>
        <v>Tools</v>
      </c>
      <c r="B17" s="11">
        <f>'Main hypotheses'!C17</f>
        <v>3000</v>
      </c>
      <c r="C17" s="96">
        <v>0</v>
      </c>
      <c r="D17" s="11">
        <f t="shared" si="1"/>
        <v>0</v>
      </c>
    </row>
    <row r="18" spans="1:6" ht="15.75" customHeight="1" x14ac:dyDescent="0.35">
      <c r="C18" s="13" t="s">
        <v>38</v>
      </c>
      <c r="D18" s="14">
        <f>SUM(D3:D17)</f>
        <v>346950</v>
      </c>
    </row>
    <row r="19" spans="1:6" ht="15.75" customHeight="1" x14ac:dyDescent="0.35"/>
    <row r="20" spans="1:6" ht="15.75" customHeight="1" x14ac:dyDescent="0.35">
      <c r="A20" s="2" t="s">
        <v>39</v>
      </c>
    </row>
    <row r="21" spans="1:6" ht="15.75" customHeight="1" x14ac:dyDescent="0.35">
      <c r="A21" s="4">
        <f t="shared" ref="A21:A24" si="2">C6</f>
        <v>0</v>
      </c>
      <c r="B21" s="4" t="str">
        <f t="shared" ref="B21:B24" si="3">A6</f>
        <v>Specialist engineer</v>
      </c>
    </row>
    <row r="22" spans="1:6" ht="15.75" customHeight="1" x14ac:dyDescent="0.35">
      <c r="A22" s="4">
        <f t="shared" si="2"/>
        <v>0</v>
      </c>
      <c r="B22" s="4" t="str">
        <f t="shared" si="3"/>
        <v>Senior repair person</v>
      </c>
    </row>
    <row r="23" spans="1:6" ht="15.75" customHeight="1" x14ac:dyDescent="0.35">
      <c r="A23" s="4">
        <f t="shared" si="2"/>
        <v>0</v>
      </c>
      <c r="B23" s="4" t="str">
        <f t="shared" si="3"/>
        <v>Junior repair person</v>
      </c>
    </row>
    <row r="24" spans="1:6" ht="15.75" customHeight="1" x14ac:dyDescent="0.35">
      <c r="A24" s="4">
        <f t="shared" si="2"/>
        <v>0</v>
      </c>
      <c r="B24" s="4" t="str">
        <f t="shared" si="3"/>
        <v>Benevolent repair person</v>
      </c>
    </row>
    <row r="25" spans="1:6" ht="15.75" customHeight="1" x14ac:dyDescent="0.35">
      <c r="A25" s="15">
        <v>0.8</v>
      </c>
      <c r="B25" s="16" t="s">
        <v>94</v>
      </c>
    </row>
    <row r="26" spans="1:6" ht="15.75" customHeight="1" x14ac:dyDescent="0.35">
      <c r="A26" s="13">
        <f>SUM(A21:A24)*A25</f>
        <v>0</v>
      </c>
      <c r="B26" s="17" t="s">
        <v>38</v>
      </c>
      <c r="C26" s="18" t="s">
        <v>41</v>
      </c>
      <c r="D26" s="19" t="e">
        <f>D18/A27</f>
        <v>#DIV/0!</v>
      </c>
      <c r="E26" s="20" t="s">
        <v>42</v>
      </c>
    </row>
    <row r="27" spans="1:6" ht="15.75" customHeight="1" x14ac:dyDescent="0.35">
      <c r="A27" s="4">
        <f>A26*220*7.6*60</f>
        <v>0</v>
      </c>
      <c r="B27" s="4" t="s">
        <v>43</v>
      </c>
      <c r="C27" s="4" t="s">
        <v>44</v>
      </c>
    </row>
    <row r="28" spans="1:6" ht="15.75" customHeight="1" x14ac:dyDescent="0.35"/>
    <row r="29" spans="1:6" ht="15.75" customHeight="1" x14ac:dyDescent="0.35">
      <c r="A29" s="99" t="s">
        <v>95</v>
      </c>
      <c r="B29" s="16"/>
      <c r="C29" s="16"/>
    </row>
    <row r="30" spans="1:6" ht="15.75" customHeight="1" x14ac:dyDescent="0.35">
      <c r="A30" s="60" t="s">
        <v>96</v>
      </c>
      <c r="B30" s="61"/>
      <c r="C30" s="16"/>
      <c r="D30" s="60" t="s">
        <v>97</v>
      </c>
      <c r="E30" s="61"/>
    </row>
    <row r="31" spans="1:6" ht="15.75" customHeight="1" x14ac:dyDescent="0.35">
      <c r="A31" s="62" t="s">
        <v>98</v>
      </c>
      <c r="B31" s="61">
        <v>4</v>
      </c>
      <c r="C31" s="16"/>
      <c r="D31" s="62" t="s">
        <v>98</v>
      </c>
      <c r="E31" s="63">
        <v>4</v>
      </c>
    </row>
    <row r="32" spans="1:6" ht="15.75" customHeight="1" x14ac:dyDescent="0.35">
      <c r="A32" s="62" t="s">
        <v>99</v>
      </c>
      <c r="B32" s="63">
        <v>5</v>
      </c>
      <c r="C32" s="16"/>
      <c r="D32" s="62" t="s">
        <v>100</v>
      </c>
      <c r="E32" s="63">
        <v>2</v>
      </c>
      <c r="F32" s="4" t="s">
        <v>101</v>
      </c>
    </row>
    <row r="33" spans="1:6" ht="15.75" customHeight="1" x14ac:dyDescent="0.35">
      <c r="A33" s="62" t="s">
        <v>102</v>
      </c>
      <c r="B33" s="63">
        <v>3</v>
      </c>
      <c r="C33" s="16"/>
      <c r="D33" s="62" t="s">
        <v>103</v>
      </c>
      <c r="E33" s="63">
        <v>2</v>
      </c>
      <c r="F33" s="4" t="s">
        <v>104</v>
      </c>
    </row>
    <row r="34" spans="1:6" ht="15.75" customHeight="1" x14ac:dyDescent="0.35">
      <c r="A34" s="62" t="s">
        <v>105</v>
      </c>
      <c r="B34" s="42">
        <v>100</v>
      </c>
      <c r="C34" s="16"/>
      <c r="D34" s="62" t="s">
        <v>106</v>
      </c>
      <c r="E34" s="63">
        <v>8</v>
      </c>
      <c r="F34" s="4" t="s">
        <v>107</v>
      </c>
    </row>
    <row r="35" spans="1:6" ht="15.75" customHeight="1" x14ac:dyDescent="0.35">
      <c r="A35" s="62" t="s">
        <v>108</v>
      </c>
      <c r="B35" s="64">
        <v>0.5</v>
      </c>
      <c r="C35" s="16"/>
      <c r="D35" s="62" t="s">
        <v>109</v>
      </c>
      <c r="E35" s="42">
        <v>100</v>
      </c>
      <c r="F35" s="4" t="s">
        <v>110</v>
      </c>
    </row>
    <row r="36" spans="1:6" ht="15.75" customHeight="1" x14ac:dyDescent="0.35">
      <c r="A36" s="60" t="s">
        <v>111</v>
      </c>
      <c r="B36" s="65">
        <f>B32*B33*B34*B35</f>
        <v>750</v>
      </c>
      <c r="C36" s="16"/>
      <c r="D36" s="62" t="s">
        <v>112</v>
      </c>
      <c r="E36" s="64">
        <v>0.8</v>
      </c>
    </row>
    <row r="37" spans="1:6" ht="15.75" customHeight="1" x14ac:dyDescent="0.35">
      <c r="A37" s="62"/>
      <c r="B37" s="44"/>
      <c r="C37" s="16"/>
      <c r="D37" s="60" t="s">
        <v>111</v>
      </c>
      <c r="E37" s="65">
        <f>E31*(E32*E33+E34)*E35*E36</f>
        <v>3840</v>
      </c>
    </row>
    <row r="38" spans="1:6" ht="15.75" customHeight="1" x14ac:dyDescent="0.35"/>
    <row r="39" spans="1:6" ht="15.75" customHeight="1" x14ac:dyDescent="0.35">
      <c r="A39" s="22" t="s">
        <v>113</v>
      </c>
      <c r="B39" s="66">
        <f>B36+E37</f>
        <v>4590</v>
      </c>
    </row>
    <row r="40" spans="1:6" ht="15.75" customHeight="1" x14ac:dyDescent="0.35">
      <c r="A40" s="4" t="s">
        <v>114</v>
      </c>
      <c r="B40" s="67">
        <f>D18/B39</f>
        <v>75.588235294117652</v>
      </c>
      <c r="C40" s="4" t="s">
        <v>115</v>
      </c>
    </row>
    <row r="41" spans="1:6" ht="15.75" customHeight="1" x14ac:dyDescent="0.35"/>
    <row r="42" spans="1:6" ht="15.75" customHeight="1" x14ac:dyDescent="0.35">
      <c r="A42" s="5"/>
    </row>
    <row r="43" spans="1:6" ht="15.75" customHeight="1" x14ac:dyDescent="0.35">
      <c r="A43" s="5"/>
    </row>
    <row r="44" spans="1:6" ht="15.75" customHeight="1" x14ac:dyDescent="0.35">
      <c r="A44" s="5"/>
    </row>
    <row r="45" spans="1:6" ht="15.75" customHeight="1" x14ac:dyDescent="0.35">
      <c r="A45" s="5"/>
    </row>
    <row r="46" spans="1:6" ht="15.75" customHeight="1" x14ac:dyDescent="0.35">
      <c r="A46" s="5"/>
    </row>
    <row r="47" spans="1:6" ht="15.75" customHeight="1" x14ac:dyDescent="0.35">
      <c r="A47" s="5"/>
    </row>
    <row r="48" spans="1:6" ht="15.75" customHeight="1" x14ac:dyDescent="0.35">
      <c r="A48" s="5"/>
    </row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  <row r="1006" ht="15.75" customHeight="1" x14ac:dyDescent="0.35"/>
    <row r="1007" ht="15.75" customHeight="1" x14ac:dyDescent="0.3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008"/>
  <sheetViews>
    <sheetView workbookViewId="0"/>
  </sheetViews>
  <sheetFormatPr defaultColWidth="11.25" defaultRowHeight="15" customHeight="1" x14ac:dyDescent="0.35"/>
  <cols>
    <col min="1" max="1" width="31.5" customWidth="1"/>
    <col min="2" max="2" width="13.33203125" customWidth="1"/>
    <col min="3" max="3" width="15" customWidth="1"/>
    <col min="4" max="4" width="14.75" customWidth="1"/>
    <col min="5" max="5" width="29.75" customWidth="1"/>
    <col min="6" max="6" width="19" customWidth="1"/>
    <col min="7" max="26" width="10.5" customWidth="1"/>
  </cols>
  <sheetData>
    <row r="1" spans="1:4" ht="15.75" customHeight="1" x14ac:dyDescent="0.35">
      <c r="A1" s="96" t="s">
        <v>35</v>
      </c>
    </row>
    <row r="2" spans="1:4" ht="15.75" customHeight="1" x14ac:dyDescent="0.35">
      <c r="A2" s="2" t="str">
        <f>'Main hypotheses'!B2</f>
        <v>Element</v>
      </c>
      <c r="B2" s="3" t="str">
        <f>'Main hypotheses'!C2</f>
        <v>Yearly Amount</v>
      </c>
      <c r="C2" s="96" t="s">
        <v>36</v>
      </c>
      <c r="D2" s="2" t="s">
        <v>37</v>
      </c>
    </row>
    <row r="3" spans="1:4" ht="15.75" customHeight="1" x14ac:dyDescent="0.35">
      <c r="A3" s="4" t="str">
        <f>'Main hypotheses'!B3</f>
        <v>Space rental</v>
      </c>
      <c r="B3" s="11">
        <f>'Main hypotheses'!C3</f>
        <v>24000</v>
      </c>
      <c r="C3" s="96">
        <v>1</v>
      </c>
      <c r="D3" s="11">
        <f t="shared" ref="D3:D11" si="0">B3*C3</f>
        <v>24000</v>
      </c>
    </row>
    <row r="4" spans="1:4" ht="15.75" customHeight="1" x14ac:dyDescent="0.35">
      <c r="A4" s="4" t="str">
        <f>'Main hypotheses'!B4</f>
        <v>Vehicle rental</v>
      </c>
      <c r="B4" s="11">
        <f>'Main hypotheses'!C4</f>
        <v>7200</v>
      </c>
      <c r="C4" s="96">
        <v>0</v>
      </c>
      <c r="D4" s="11">
        <f t="shared" si="0"/>
        <v>0</v>
      </c>
    </row>
    <row r="5" spans="1:4" ht="15.75" customHeight="1" x14ac:dyDescent="0.35">
      <c r="A5" s="4" t="str">
        <f>'Main hypotheses'!B5</f>
        <v>Administrative person</v>
      </c>
      <c r="B5" s="11">
        <f>'Main hypotheses'!C5</f>
        <v>55000</v>
      </c>
      <c r="C5" s="96">
        <v>0.5</v>
      </c>
      <c r="D5" s="11">
        <f t="shared" si="0"/>
        <v>27500</v>
      </c>
    </row>
    <row r="6" spans="1:4" ht="15.75" customHeight="1" x14ac:dyDescent="0.35">
      <c r="A6" s="4" t="str">
        <f>'Main hypotheses'!B6</f>
        <v>Specialist engineer</v>
      </c>
      <c r="B6" s="11">
        <f>'Main hypotheses'!C6</f>
        <v>75000</v>
      </c>
      <c r="C6" s="96">
        <v>1</v>
      </c>
      <c r="D6" s="11">
        <f t="shared" si="0"/>
        <v>75000</v>
      </c>
    </row>
    <row r="7" spans="1:4" ht="15.75" customHeight="1" x14ac:dyDescent="0.35">
      <c r="A7" s="4" t="str">
        <f>'Main hypotheses'!B7</f>
        <v>Senior repair person</v>
      </c>
      <c r="B7" s="11">
        <f>'Main hypotheses'!C7</f>
        <v>65000</v>
      </c>
      <c r="C7" s="96">
        <v>1</v>
      </c>
      <c r="D7" s="11">
        <f t="shared" si="0"/>
        <v>65000</v>
      </c>
    </row>
    <row r="8" spans="1:4" ht="15.75" customHeight="1" x14ac:dyDescent="0.35">
      <c r="A8" s="4" t="str">
        <f>'Main hypotheses'!B8</f>
        <v>Junior repair person</v>
      </c>
      <c r="B8" s="11">
        <f>'Main hypotheses'!C8</f>
        <v>48000</v>
      </c>
      <c r="C8" s="96">
        <v>0</v>
      </c>
      <c r="D8" s="11">
        <f t="shared" si="0"/>
        <v>0</v>
      </c>
    </row>
    <row r="9" spans="1:4" ht="15.75" customHeight="1" x14ac:dyDescent="0.35">
      <c r="A9" s="4" t="str">
        <f>'Main hypotheses'!B9</f>
        <v>Benevolent repair person</v>
      </c>
      <c r="B9" s="11">
        <f>'Main hypotheses'!C9</f>
        <v>3000</v>
      </c>
      <c r="C9" s="96">
        <v>0</v>
      </c>
      <c r="D9" s="11">
        <f t="shared" si="0"/>
        <v>0</v>
      </c>
    </row>
    <row r="10" spans="1:4" ht="15.75" customHeight="1" x14ac:dyDescent="0.35">
      <c r="A10" s="4" t="str">
        <f>'Main hypotheses'!B10</f>
        <v>Coach/animator</v>
      </c>
      <c r="B10" s="11">
        <f>'Main hypotheses'!C10</f>
        <v>55000</v>
      </c>
      <c r="C10" s="96">
        <v>0</v>
      </c>
      <c r="D10" s="11">
        <f t="shared" si="0"/>
        <v>0</v>
      </c>
    </row>
    <row r="11" spans="1:4" ht="15.75" customHeight="1" x14ac:dyDescent="0.35">
      <c r="A11" s="4" t="str">
        <f>'Main hypotheses'!B11</f>
        <v>Communication manager</v>
      </c>
      <c r="B11" s="11">
        <f>'Main hypotheses'!C11</f>
        <v>60000</v>
      </c>
      <c r="C11" s="96">
        <v>0.5</v>
      </c>
      <c r="D11" s="11">
        <f t="shared" si="0"/>
        <v>30000</v>
      </c>
    </row>
    <row r="12" spans="1:4" ht="15.75" customHeight="1" x14ac:dyDescent="0.35">
      <c r="A12" s="4" t="str">
        <f>'Main hypotheses'!B12</f>
        <v>Overhead cost on personnel</v>
      </c>
      <c r="B12" s="12">
        <f>'Main hypotheses'!C12</f>
        <v>0.1</v>
      </c>
      <c r="C12" s="96">
        <v>1</v>
      </c>
      <c r="D12" s="11">
        <f>B12*SUM(D5:D11)*C12</f>
        <v>19750</v>
      </c>
    </row>
    <row r="13" spans="1:4" ht="15.75" customHeight="1" x14ac:dyDescent="0.35">
      <c r="A13" s="4" t="str">
        <f>'Main hypotheses'!B13</f>
        <v>Energy (heating, elec…)</v>
      </c>
      <c r="B13" s="11">
        <f>'Main hypotheses'!C13</f>
        <v>6000</v>
      </c>
      <c r="C13" s="96">
        <v>1</v>
      </c>
      <c r="D13" s="11">
        <f t="shared" ref="D13:D17" si="1">B13*C13</f>
        <v>6000</v>
      </c>
    </row>
    <row r="14" spans="1:4" ht="15.75" customHeight="1" x14ac:dyDescent="0.35">
      <c r="A14" s="4" t="str">
        <f>'Main hypotheses'!B14</f>
        <v>Administration</v>
      </c>
      <c r="B14" s="11">
        <f>'Main hypotheses'!C14</f>
        <v>5000</v>
      </c>
      <c r="C14" s="96">
        <v>1</v>
      </c>
      <c r="D14" s="11">
        <f t="shared" si="1"/>
        <v>5000</v>
      </c>
    </row>
    <row r="15" spans="1:4" ht="15.75" customHeight="1" x14ac:dyDescent="0.35">
      <c r="A15" s="4" t="str">
        <f>'Main hypotheses'!B15</f>
        <v>Communication (Internet, email…)</v>
      </c>
      <c r="B15" s="11">
        <f>'Main hypotheses'!C15</f>
        <v>1200</v>
      </c>
      <c r="C15" s="96">
        <v>1</v>
      </c>
      <c r="D15" s="11">
        <f t="shared" si="1"/>
        <v>1200</v>
      </c>
    </row>
    <row r="16" spans="1:4" ht="15.75" customHeight="1" x14ac:dyDescent="0.35">
      <c r="A16" s="4" t="str">
        <f>'Main hypotheses'!B16</f>
        <v>Communication material</v>
      </c>
      <c r="B16" s="11">
        <f>'Main hypotheses'!C16</f>
        <v>3000</v>
      </c>
      <c r="C16" s="96">
        <v>1</v>
      </c>
      <c r="D16" s="11">
        <f t="shared" si="1"/>
        <v>3000</v>
      </c>
    </row>
    <row r="17" spans="1:8" ht="15.75" customHeight="1" x14ac:dyDescent="0.35">
      <c r="A17" s="4" t="str">
        <f>'Main hypotheses'!B17</f>
        <v>Tools</v>
      </c>
      <c r="B17" s="11">
        <f>'Main hypotheses'!C17</f>
        <v>3000</v>
      </c>
      <c r="C17" s="96">
        <v>1</v>
      </c>
      <c r="D17" s="11">
        <f t="shared" si="1"/>
        <v>3000</v>
      </c>
    </row>
    <row r="18" spans="1:8" ht="15.75" customHeight="1" x14ac:dyDescent="0.35">
      <c r="C18" s="13" t="s">
        <v>38</v>
      </c>
      <c r="D18" s="14">
        <f>SUM(D3:D17)</f>
        <v>259450</v>
      </c>
    </row>
    <row r="19" spans="1:8" ht="15.75" customHeight="1" x14ac:dyDescent="0.35"/>
    <row r="20" spans="1:8" ht="15.75" customHeight="1" x14ac:dyDescent="0.35">
      <c r="A20" s="2" t="s">
        <v>39</v>
      </c>
    </row>
    <row r="21" spans="1:8" ht="15.75" customHeight="1" x14ac:dyDescent="0.35">
      <c r="A21" s="4">
        <f t="shared" ref="A21:A24" si="2">C6</f>
        <v>1</v>
      </c>
      <c r="B21" s="4" t="str">
        <f t="shared" ref="B21:B24" si="3">A6</f>
        <v>Specialist engineer</v>
      </c>
    </row>
    <row r="22" spans="1:8" ht="15.75" customHeight="1" x14ac:dyDescent="0.35">
      <c r="A22" s="4">
        <f t="shared" si="2"/>
        <v>1</v>
      </c>
      <c r="B22" s="4" t="str">
        <f t="shared" si="3"/>
        <v>Senior repair person</v>
      </c>
    </row>
    <row r="23" spans="1:8" ht="15.75" customHeight="1" x14ac:dyDescent="0.35">
      <c r="A23" s="4">
        <f t="shared" si="2"/>
        <v>0</v>
      </c>
      <c r="B23" s="4" t="str">
        <f t="shared" si="3"/>
        <v>Junior repair person</v>
      </c>
    </row>
    <row r="24" spans="1:8" ht="15.75" customHeight="1" x14ac:dyDescent="0.35">
      <c r="A24" s="4">
        <f t="shared" si="2"/>
        <v>0</v>
      </c>
      <c r="B24" s="4" t="str">
        <f t="shared" si="3"/>
        <v>Benevolent repair person</v>
      </c>
    </row>
    <row r="25" spans="1:8" ht="15.75" customHeight="1" x14ac:dyDescent="0.35">
      <c r="A25" s="15">
        <v>0.8</v>
      </c>
      <c r="B25" s="16" t="s">
        <v>94</v>
      </c>
    </row>
    <row r="26" spans="1:8" ht="15.75" customHeight="1" x14ac:dyDescent="0.35">
      <c r="A26" s="13">
        <f>SUM(A21:A24)*A25</f>
        <v>1.6</v>
      </c>
      <c r="B26" s="17" t="s">
        <v>38</v>
      </c>
      <c r="C26" s="18" t="s">
        <v>41</v>
      </c>
      <c r="D26" s="19">
        <f>D18/A27</f>
        <v>1.6163900518341308</v>
      </c>
      <c r="E26" s="20" t="s">
        <v>42</v>
      </c>
    </row>
    <row r="27" spans="1:8" ht="15.75" customHeight="1" x14ac:dyDescent="0.35">
      <c r="A27" s="4">
        <f>A26*220*7.6*60</f>
        <v>160512</v>
      </c>
      <c r="B27" s="4" t="s">
        <v>43</v>
      </c>
      <c r="C27" s="4" t="s">
        <v>44</v>
      </c>
    </row>
    <row r="28" spans="1:8" ht="15.75" customHeight="1" x14ac:dyDescent="0.35"/>
    <row r="29" spans="1:8" ht="15.75" customHeight="1" x14ac:dyDescent="0.35">
      <c r="A29" s="99" t="s">
        <v>116</v>
      </c>
      <c r="B29" s="16"/>
      <c r="C29" s="16"/>
    </row>
    <row r="30" spans="1:8" ht="15.75" customHeight="1" x14ac:dyDescent="0.35">
      <c r="A30" s="60" t="s">
        <v>117</v>
      </c>
      <c r="B30" s="61"/>
      <c r="C30" s="16"/>
      <c r="D30" s="60" t="s">
        <v>118</v>
      </c>
      <c r="E30" s="61"/>
      <c r="G30" s="60" t="s">
        <v>119</v>
      </c>
    </row>
    <row r="31" spans="1:8" ht="15.75" customHeight="1" x14ac:dyDescent="0.35">
      <c r="A31" s="62" t="s">
        <v>120</v>
      </c>
      <c r="B31" s="63">
        <v>4</v>
      </c>
      <c r="C31" s="16"/>
      <c r="D31" s="62" t="s">
        <v>120</v>
      </c>
      <c r="E31" s="63">
        <v>4</v>
      </c>
      <c r="G31" s="62" t="s">
        <v>120</v>
      </c>
      <c r="H31" s="63">
        <v>8</v>
      </c>
    </row>
    <row r="32" spans="1:8" ht="15.75" customHeight="1" x14ac:dyDescent="0.35">
      <c r="A32" s="62" t="s">
        <v>121</v>
      </c>
      <c r="B32" s="42">
        <v>300</v>
      </c>
      <c r="C32" s="16"/>
      <c r="D32" s="62" t="s">
        <v>121</v>
      </c>
      <c r="E32" s="42">
        <v>150</v>
      </c>
      <c r="G32" s="62" t="s">
        <v>122</v>
      </c>
      <c r="H32" s="42">
        <v>20</v>
      </c>
    </row>
    <row r="33" spans="1:8" ht="15.75" customHeight="1" x14ac:dyDescent="0.35">
      <c r="A33" s="62" t="s">
        <v>123</v>
      </c>
      <c r="B33" s="68">
        <v>3</v>
      </c>
      <c r="C33" s="16"/>
      <c r="D33" s="62" t="s">
        <v>123</v>
      </c>
      <c r="E33" s="68">
        <v>4</v>
      </c>
      <c r="G33" s="62" t="s">
        <v>123</v>
      </c>
      <c r="H33" s="68">
        <v>4</v>
      </c>
    </row>
    <row r="34" spans="1:8" ht="15.75" customHeight="1" x14ac:dyDescent="0.35">
      <c r="A34" s="62" t="s">
        <v>124</v>
      </c>
      <c r="B34" s="69">
        <f>B31*B32*B33</f>
        <v>3600</v>
      </c>
      <c r="C34" s="16"/>
      <c r="D34" s="62" t="s">
        <v>124</v>
      </c>
      <c r="E34" s="69">
        <f>E31*E32*E33</f>
        <v>2400</v>
      </c>
      <c r="G34" s="62" t="s">
        <v>124</v>
      </c>
      <c r="H34" s="69">
        <f>H31*H32*H33/(1+'Main hypotheses'!C26)</f>
        <v>528.9256198347108</v>
      </c>
    </row>
    <row r="35" spans="1:8" ht="15.75" customHeight="1" x14ac:dyDescent="0.35">
      <c r="A35" s="70" t="s">
        <v>125</v>
      </c>
      <c r="B35" s="71">
        <v>40</v>
      </c>
      <c r="D35" s="70" t="s">
        <v>125</v>
      </c>
      <c r="E35" s="71">
        <v>40</v>
      </c>
      <c r="G35" s="70" t="s">
        <v>125</v>
      </c>
      <c r="H35" s="71">
        <v>40</v>
      </c>
    </row>
    <row r="36" spans="1:8" ht="15.75" customHeight="1" x14ac:dyDescent="0.35">
      <c r="A36" s="62" t="s">
        <v>126</v>
      </c>
      <c r="B36" s="55">
        <f>B35*B34</f>
        <v>144000</v>
      </c>
      <c r="D36" s="62" t="s">
        <v>126</v>
      </c>
      <c r="E36" s="55">
        <f>E35*E34</f>
        <v>96000</v>
      </c>
      <c r="G36" s="62" t="s">
        <v>126</v>
      </c>
      <c r="H36" s="55">
        <f>H35*H34</f>
        <v>21157.024793388431</v>
      </c>
    </row>
    <row r="37" spans="1:8" ht="15.75" customHeight="1" x14ac:dyDescent="0.35">
      <c r="E37" s="5"/>
    </row>
    <row r="38" spans="1:8" ht="15.75" customHeight="1" x14ac:dyDescent="0.35">
      <c r="A38" s="70" t="s">
        <v>127</v>
      </c>
      <c r="B38" s="4">
        <f>B31*B33*B35</f>
        <v>480</v>
      </c>
      <c r="D38" s="70" t="s">
        <v>127</v>
      </c>
      <c r="E38" s="4">
        <f>E31*E33*E35</f>
        <v>640</v>
      </c>
      <c r="G38" s="70" t="s">
        <v>127</v>
      </c>
      <c r="H38" s="4">
        <f>H31*H33*H35</f>
        <v>1280</v>
      </c>
    </row>
    <row r="39" spans="1:8" ht="15.75" customHeight="1" x14ac:dyDescent="0.35">
      <c r="A39" s="72" t="s">
        <v>128</v>
      </c>
      <c r="B39" s="71">
        <v>4</v>
      </c>
      <c r="D39" s="72" t="s">
        <v>128</v>
      </c>
      <c r="E39" s="71">
        <v>4</v>
      </c>
      <c r="G39" s="72" t="s">
        <v>128</v>
      </c>
      <c r="H39" s="71">
        <v>4</v>
      </c>
    </row>
    <row r="40" spans="1:8" ht="15.75" customHeight="1" x14ac:dyDescent="0.35">
      <c r="A40" s="72" t="s">
        <v>129</v>
      </c>
      <c r="B40" s="4">
        <f>B33*B35*B39</f>
        <v>480</v>
      </c>
      <c r="D40" s="72" t="s">
        <v>129</v>
      </c>
      <c r="E40" s="4">
        <f>E33*E35*E39</f>
        <v>640</v>
      </c>
      <c r="G40" s="72" t="s">
        <v>129</v>
      </c>
      <c r="H40" s="4">
        <f>H33*H35*H39</f>
        <v>640</v>
      </c>
    </row>
    <row r="41" spans="1:8" ht="15.75" customHeight="1" x14ac:dyDescent="0.35">
      <c r="A41" s="73"/>
      <c r="B41" s="22"/>
    </row>
    <row r="42" spans="1:8" ht="15.75" customHeight="1" x14ac:dyDescent="0.35">
      <c r="A42" s="73" t="s">
        <v>130</v>
      </c>
      <c r="B42" s="4">
        <f>B40+E40+H40</f>
        <v>1760</v>
      </c>
      <c r="C42" s="4" t="str">
        <f>"hours -&gt; team used at "&amp;ROUND(B42*60/A27*100,0)&amp;" % of their time"</f>
        <v>hours -&gt; team used at 66 % of their time</v>
      </c>
      <c r="E42" s="74"/>
    </row>
    <row r="43" spans="1:8" ht="15.75" customHeight="1" x14ac:dyDescent="0.35">
      <c r="A43" s="73"/>
      <c r="B43" s="22"/>
    </row>
    <row r="44" spans="1:8" ht="15.75" customHeight="1" x14ac:dyDescent="0.35">
      <c r="A44" s="4" t="s">
        <v>88</v>
      </c>
      <c r="C44" s="55">
        <f>B36+E36+H36</f>
        <v>261157.02479338844</v>
      </c>
      <c r="D44" s="4" t="s">
        <v>67</v>
      </c>
    </row>
    <row r="45" spans="1:8" ht="15.75" customHeight="1" x14ac:dyDescent="0.35">
      <c r="A45" s="4" t="s">
        <v>89</v>
      </c>
      <c r="C45" s="56">
        <f>IF(C44&gt;D18,C44-D18,0)</f>
        <v>1707.0247933884384</v>
      </c>
      <c r="D45" s="4" t="s">
        <v>67</v>
      </c>
    </row>
    <row r="46" spans="1:8" ht="15.75" customHeight="1" x14ac:dyDescent="0.55000000000000004">
      <c r="A46" s="4" t="s">
        <v>90</v>
      </c>
      <c r="C46" s="57">
        <f>IF(C44&lt;D18,C44-D18,0)</f>
        <v>0</v>
      </c>
      <c r="D46" s="4" t="s">
        <v>67</v>
      </c>
      <c r="E46" s="27">
        <f>C46/D18</f>
        <v>0</v>
      </c>
    </row>
    <row r="47" spans="1:8" ht="15.75" customHeight="1" x14ac:dyDescent="0.35">
      <c r="A47" s="5"/>
      <c r="B47" s="5"/>
      <c r="C47" s="5"/>
    </row>
    <row r="48" spans="1:8" ht="15.75" customHeight="1" x14ac:dyDescent="0.35">
      <c r="A48" s="5"/>
      <c r="B48" s="5"/>
      <c r="C48" s="5"/>
    </row>
    <row r="49" spans="1:3" ht="15.75" customHeight="1" x14ac:dyDescent="0.35">
      <c r="A49" s="5"/>
      <c r="B49" s="5"/>
      <c r="C49" s="5"/>
    </row>
    <row r="50" spans="1:3" ht="15.75" customHeight="1" x14ac:dyDescent="0.35">
      <c r="A50" s="5"/>
      <c r="B50" s="5"/>
      <c r="C50" s="5"/>
    </row>
    <row r="51" spans="1:3" ht="15.75" customHeight="1" x14ac:dyDescent="0.35">
      <c r="A51" s="5"/>
      <c r="B51" s="5"/>
      <c r="C51" s="5"/>
    </row>
    <row r="52" spans="1:3" ht="15.75" customHeight="1" x14ac:dyDescent="0.35"/>
    <row r="53" spans="1:3" ht="15.75" customHeight="1" x14ac:dyDescent="0.35"/>
    <row r="54" spans="1:3" ht="15.75" customHeight="1" x14ac:dyDescent="0.35"/>
    <row r="55" spans="1:3" ht="15.75" customHeight="1" x14ac:dyDescent="0.35"/>
    <row r="56" spans="1:3" ht="15.75" customHeight="1" x14ac:dyDescent="0.35"/>
    <row r="57" spans="1:3" ht="15.75" customHeight="1" x14ac:dyDescent="0.35"/>
    <row r="58" spans="1:3" ht="15.75" customHeight="1" x14ac:dyDescent="0.35"/>
    <row r="59" spans="1:3" ht="15.75" customHeight="1" x14ac:dyDescent="0.35"/>
    <row r="60" spans="1:3" ht="15.75" customHeight="1" x14ac:dyDescent="0.35"/>
    <row r="61" spans="1:3" ht="15.75" customHeight="1" x14ac:dyDescent="0.35"/>
    <row r="62" spans="1:3" ht="15.75" customHeight="1" x14ac:dyDescent="0.35"/>
    <row r="63" spans="1:3" ht="15.75" customHeight="1" x14ac:dyDescent="0.35"/>
    <row r="64" spans="1:3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  <row r="1006" ht="15.75" customHeight="1" x14ac:dyDescent="0.35"/>
    <row r="1007" ht="15.75" customHeight="1" x14ac:dyDescent="0.35"/>
    <row r="1008" ht="15.75" customHeight="1" x14ac:dyDescent="0.3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00"/>
    <outlinePr summaryBelow="0" summaryRight="0"/>
  </sheetPr>
  <dimension ref="A1:I111"/>
  <sheetViews>
    <sheetView workbookViewId="0"/>
  </sheetViews>
  <sheetFormatPr defaultColWidth="11.25" defaultRowHeight="15" customHeight="1" x14ac:dyDescent="0.35"/>
  <cols>
    <col min="1" max="1" width="28.25" customWidth="1"/>
    <col min="2" max="2" width="16.33203125" customWidth="1"/>
    <col min="3" max="6" width="14.75" customWidth="1"/>
    <col min="7" max="7" width="5.5" customWidth="1"/>
    <col min="8" max="8" width="11.83203125" customWidth="1"/>
    <col min="9" max="9" width="31.33203125" customWidth="1"/>
  </cols>
  <sheetData>
    <row r="1" spans="1:9" x14ac:dyDescent="0.35">
      <c r="A1" s="96" t="s">
        <v>35</v>
      </c>
      <c r="C1" s="103" t="s">
        <v>131</v>
      </c>
      <c r="D1" s="104"/>
      <c r="E1" s="104"/>
      <c r="F1" s="104"/>
      <c r="G1" s="104"/>
    </row>
    <row r="2" spans="1:9" x14ac:dyDescent="0.35">
      <c r="A2" s="2" t="str">
        <f>'Main hypotheses'!B2</f>
        <v>Element</v>
      </c>
      <c r="B2" s="75" t="str">
        <f>'Main hypotheses'!C2</f>
        <v>Yearly Amount</v>
      </c>
      <c r="C2" s="76" t="s">
        <v>132</v>
      </c>
      <c r="D2" s="76" t="s">
        <v>133</v>
      </c>
      <c r="E2" s="76" t="s">
        <v>134</v>
      </c>
      <c r="F2" s="76" t="s">
        <v>135</v>
      </c>
      <c r="G2" s="100" t="s">
        <v>38</v>
      </c>
      <c r="H2" s="60" t="s">
        <v>37</v>
      </c>
      <c r="I2" s="22" t="s">
        <v>4</v>
      </c>
    </row>
    <row r="3" spans="1:9" x14ac:dyDescent="0.35">
      <c r="A3" s="4" t="str">
        <f>'Main hypotheses'!B3</f>
        <v>Space rental</v>
      </c>
      <c r="B3" s="11">
        <f>'Main hypotheses'!C3</f>
        <v>24000</v>
      </c>
      <c r="C3" s="77">
        <v>0.9</v>
      </c>
      <c r="D3" s="77">
        <v>0.1</v>
      </c>
      <c r="E3" s="77">
        <v>0.8</v>
      </c>
      <c r="F3" s="77">
        <v>0.2</v>
      </c>
      <c r="G3" s="79">
        <f t="shared" ref="G3:G11" si="0">SUM(C3:F3)</f>
        <v>2</v>
      </c>
      <c r="H3" s="11">
        <f t="shared" ref="H3:H11" si="1">B3*G3</f>
        <v>48000</v>
      </c>
      <c r="I3" s="4" t="s">
        <v>136</v>
      </c>
    </row>
    <row r="4" spans="1:9" x14ac:dyDescent="0.35">
      <c r="A4" s="4" t="str">
        <f>'Main hypotheses'!B4</f>
        <v>Vehicle rental</v>
      </c>
      <c r="B4" s="11">
        <f>'Main hypotheses'!C4</f>
        <v>7200</v>
      </c>
      <c r="C4" s="77">
        <v>0</v>
      </c>
      <c r="D4" s="77">
        <v>1</v>
      </c>
      <c r="E4" s="77">
        <v>0</v>
      </c>
      <c r="F4" s="77">
        <v>0</v>
      </c>
      <c r="G4" s="79">
        <f t="shared" si="0"/>
        <v>1</v>
      </c>
      <c r="H4" s="11">
        <f t="shared" si="1"/>
        <v>7200</v>
      </c>
    </row>
    <row r="5" spans="1:9" x14ac:dyDescent="0.35">
      <c r="A5" s="4" t="str">
        <f>'Main hypotheses'!B5</f>
        <v>Administrative person</v>
      </c>
      <c r="B5" s="11">
        <f>'Main hypotheses'!C5</f>
        <v>55000</v>
      </c>
      <c r="C5" s="77">
        <v>0.25</v>
      </c>
      <c r="D5" s="77">
        <v>0.25</v>
      </c>
      <c r="E5" s="77">
        <v>0.25</v>
      </c>
      <c r="F5" s="77">
        <v>0.25</v>
      </c>
      <c r="G5" s="79">
        <f t="shared" si="0"/>
        <v>1</v>
      </c>
      <c r="H5" s="11">
        <f t="shared" si="1"/>
        <v>55000</v>
      </c>
    </row>
    <row r="6" spans="1:9" x14ac:dyDescent="0.35">
      <c r="A6" s="4" t="str">
        <f>'Main hypotheses'!B6</f>
        <v>Specialist engineer</v>
      </c>
      <c r="B6" s="11">
        <f>'Main hypotheses'!C6</f>
        <v>75000</v>
      </c>
      <c r="C6" s="77">
        <v>0</v>
      </c>
      <c r="D6" s="77">
        <v>0</v>
      </c>
      <c r="E6" s="77">
        <v>0</v>
      </c>
      <c r="F6" s="77">
        <v>0.25</v>
      </c>
      <c r="G6" s="79">
        <f t="shared" si="0"/>
        <v>0.25</v>
      </c>
      <c r="H6" s="11">
        <f t="shared" si="1"/>
        <v>18750</v>
      </c>
    </row>
    <row r="7" spans="1:9" x14ac:dyDescent="0.35">
      <c r="A7" s="4" t="str">
        <f>'Main hypotheses'!B7</f>
        <v>Senior repair person</v>
      </c>
      <c r="B7" s="11">
        <f>'Main hypotheses'!C7</f>
        <v>65000</v>
      </c>
      <c r="C7" s="77">
        <v>1</v>
      </c>
      <c r="D7" s="77">
        <v>1</v>
      </c>
      <c r="E7" s="77">
        <v>0</v>
      </c>
      <c r="F7" s="77">
        <v>0.25</v>
      </c>
      <c r="G7" s="79">
        <f t="shared" si="0"/>
        <v>2.25</v>
      </c>
      <c r="H7" s="11">
        <f t="shared" si="1"/>
        <v>146250</v>
      </c>
    </row>
    <row r="8" spans="1:9" x14ac:dyDescent="0.35">
      <c r="A8" s="4" t="str">
        <f>'Main hypotheses'!B8</f>
        <v>Junior repair person</v>
      </c>
      <c r="B8" s="11">
        <f>'Main hypotheses'!C8</f>
        <v>48000</v>
      </c>
      <c r="C8" s="77">
        <v>1</v>
      </c>
      <c r="D8" s="77">
        <v>0</v>
      </c>
      <c r="E8" s="77">
        <v>0</v>
      </c>
      <c r="F8" s="77">
        <v>0</v>
      </c>
      <c r="G8" s="79">
        <f t="shared" si="0"/>
        <v>1</v>
      </c>
      <c r="H8" s="11">
        <f t="shared" si="1"/>
        <v>48000</v>
      </c>
    </row>
    <row r="9" spans="1:9" x14ac:dyDescent="0.35">
      <c r="A9" s="4" t="str">
        <f>'Main hypotheses'!B9</f>
        <v>Benevolent repair person</v>
      </c>
      <c r="B9" s="11">
        <f>'Main hypotheses'!C9</f>
        <v>3000</v>
      </c>
      <c r="C9" s="77">
        <v>1</v>
      </c>
      <c r="D9" s="77">
        <v>0</v>
      </c>
      <c r="E9" s="77">
        <v>0</v>
      </c>
      <c r="F9" s="77">
        <v>0</v>
      </c>
      <c r="G9" s="79">
        <f t="shared" si="0"/>
        <v>1</v>
      </c>
      <c r="H9" s="11">
        <f t="shared" si="1"/>
        <v>3000</v>
      </c>
    </row>
    <row r="10" spans="1:9" x14ac:dyDescent="0.35">
      <c r="A10" s="4" t="str">
        <f>'Main hypotheses'!B10</f>
        <v>Coach/animator</v>
      </c>
      <c r="B10" s="11">
        <f>'Main hypotheses'!C10</f>
        <v>55000</v>
      </c>
      <c r="C10" s="77">
        <v>0</v>
      </c>
      <c r="D10" s="77">
        <v>0</v>
      </c>
      <c r="E10" s="77">
        <v>2</v>
      </c>
      <c r="F10" s="77">
        <v>0</v>
      </c>
      <c r="G10" s="79">
        <f t="shared" si="0"/>
        <v>2</v>
      </c>
      <c r="H10" s="11">
        <f t="shared" si="1"/>
        <v>110000</v>
      </c>
    </row>
    <row r="11" spans="1:9" x14ac:dyDescent="0.35">
      <c r="A11" s="4" t="str">
        <f>'Main hypotheses'!B11</f>
        <v>Communication manager</v>
      </c>
      <c r="B11" s="11">
        <f>'Main hypotheses'!C11</f>
        <v>60000</v>
      </c>
      <c r="C11" s="77">
        <v>0.2</v>
      </c>
      <c r="D11" s="77">
        <v>0.2</v>
      </c>
      <c r="E11" s="77">
        <v>0.4</v>
      </c>
      <c r="F11" s="77">
        <v>0.2</v>
      </c>
      <c r="G11" s="79">
        <f t="shared" si="0"/>
        <v>1</v>
      </c>
      <c r="H11" s="11">
        <f t="shared" si="1"/>
        <v>60000</v>
      </c>
    </row>
    <row r="12" spans="1:9" x14ac:dyDescent="0.35">
      <c r="A12" s="4" t="str">
        <f>'Main hypotheses'!B12</f>
        <v>Overhead cost on personnel</v>
      </c>
      <c r="B12" s="12">
        <f>'Main hypotheses'!C12</f>
        <v>0.1</v>
      </c>
      <c r="C12" s="78">
        <v>1</v>
      </c>
      <c r="D12" s="78">
        <v>1</v>
      </c>
      <c r="E12" s="78">
        <v>1</v>
      </c>
      <c r="F12" s="78">
        <v>1</v>
      </c>
      <c r="G12" s="101">
        <v>1</v>
      </c>
      <c r="H12" s="11">
        <f>B12*SUM(H5:H11)*G12</f>
        <v>44100</v>
      </c>
    </row>
    <row r="13" spans="1:9" x14ac:dyDescent="0.35">
      <c r="A13" s="4" t="str">
        <f>'Main hypotheses'!B13</f>
        <v>Energy (heating, elec…)</v>
      </c>
      <c r="B13" s="11">
        <f>'Main hypotheses'!C13</f>
        <v>6000</v>
      </c>
      <c r="C13" s="77">
        <f t="shared" ref="C13:F13" si="2">C3</f>
        <v>0.9</v>
      </c>
      <c r="D13" s="77">
        <f t="shared" si="2"/>
        <v>0.1</v>
      </c>
      <c r="E13" s="77">
        <f t="shared" si="2"/>
        <v>0.8</v>
      </c>
      <c r="F13" s="77">
        <f t="shared" si="2"/>
        <v>0.2</v>
      </c>
      <c r="G13" s="79">
        <f t="shared" ref="G13:G17" si="3">SUM(C13:F13)</f>
        <v>2</v>
      </c>
      <c r="H13" s="11">
        <f t="shared" ref="H13:H17" si="4">B13*G13</f>
        <v>12000</v>
      </c>
    </row>
    <row r="14" spans="1:9" x14ac:dyDescent="0.35">
      <c r="A14" s="4" t="str">
        <f>'Main hypotheses'!B14</f>
        <v>Administration</v>
      </c>
      <c r="B14" s="11">
        <f>'Main hypotheses'!C14</f>
        <v>5000</v>
      </c>
      <c r="C14" s="77">
        <f t="shared" ref="C14:F14" si="5">C3</f>
        <v>0.9</v>
      </c>
      <c r="D14" s="77">
        <f t="shared" si="5"/>
        <v>0.1</v>
      </c>
      <c r="E14" s="77">
        <f t="shared" si="5"/>
        <v>0.8</v>
      </c>
      <c r="F14" s="77">
        <f t="shared" si="5"/>
        <v>0.2</v>
      </c>
      <c r="G14" s="79">
        <f t="shared" si="3"/>
        <v>2</v>
      </c>
      <c r="H14" s="11">
        <f t="shared" si="4"/>
        <v>10000</v>
      </c>
    </row>
    <row r="15" spans="1:9" x14ac:dyDescent="0.35">
      <c r="A15" s="4" t="str">
        <f>'Main hypotheses'!B15</f>
        <v>Communication (Internet, email…)</v>
      </c>
      <c r="B15" s="11">
        <f>'Main hypotheses'!C15</f>
        <v>1200</v>
      </c>
      <c r="C15" s="77">
        <f t="shared" ref="C15:F15" si="6">C11</f>
        <v>0.2</v>
      </c>
      <c r="D15" s="77">
        <f t="shared" si="6"/>
        <v>0.2</v>
      </c>
      <c r="E15" s="77">
        <f t="shared" si="6"/>
        <v>0.4</v>
      </c>
      <c r="F15" s="77">
        <f t="shared" si="6"/>
        <v>0.2</v>
      </c>
      <c r="G15" s="79">
        <f t="shared" si="3"/>
        <v>1</v>
      </c>
      <c r="H15" s="11">
        <f t="shared" si="4"/>
        <v>1200</v>
      </c>
    </row>
    <row r="16" spans="1:9" x14ac:dyDescent="0.35">
      <c r="A16" s="4" t="str">
        <f>'Main hypotheses'!B16</f>
        <v>Communication material</v>
      </c>
      <c r="B16" s="11">
        <f>'Main hypotheses'!C16</f>
        <v>3000</v>
      </c>
      <c r="C16" s="77">
        <v>1</v>
      </c>
      <c r="D16" s="77">
        <v>1</v>
      </c>
      <c r="E16" s="77">
        <v>3</v>
      </c>
      <c r="F16" s="77">
        <v>0.5</v>
      </c>
      <c r="G16" s="79">
        <f t="shared" si="3"/>
        <v>5.5</v>
      </c>
      <c r="H16" s="11">
        <f t="shared" si="4"/>
        <v>16500</v>
      </c>
    </row>
    <row r="17" spans="1:9" x14ac:dyDescent="0.35">
      <c r="A17" s="4" t="str">
        <f>'Main hypotheses'!B17</f>
        <v>Tools</v>
      </c>
      <c r="B17" s="11">
        <f>'Main hypotheses'!C17</f>
        <v>3000</v>
      </c>
      <c r="C17" s="77">
        <v>1</v>
      </c>
      <c r="D17" s="77">
        <v>1</v>
      </c>
      <c r="E17" s="77">
        <v>0</v>
      </c>
      <c r="F17" s="77">
        <v>1</v>
      </c>
      <c r="G17" s="79">
        <f t="shared" si="3"/>
        <v>3</v>
      </c>
      <c r="H17" s="11">
        <f t="shared" si="4"/>
        <v>9000</v>
      </c>
    </row>
    <row r="18" spans="1:9" x14ac:dyDescent="0.35">
      <c r="A18" s="2" t="s">
        <v>38</v>
      </c>
      <c r="B18" s="22"/>
      <c r="C18" s="80">
        <f t="shared" ref="C18:F18" si="7">SUMPRODUCT($B3:$B4,C3:C4)+SUMPRODUCT($B5:$B11,C5:C11)*(1+$B12)+SUMPRODUCT($B13:$B17,C13:C17)</f>
        <v>193665</v>
      </c>
      <c r="D18" s="80">
        <f t="shared" si="7"/>
        <v>116765.00000000001</v>
      </c>
      <c r="E18" s="80">
        <f t="shared" si="7"/>
        <v>200005</v>
      </c>
      <c r="F18" s="80">
        <f t="shared" si="7"/>
        <v>78565</v>
      </c>
      <c r="G18" s="22"/>
      <c r="H18" s="81">
        <f>SUM(H3:H17)</f>
        <v>589000</v>
      </c>
      <c r="I18" s="22" t="s">
        <v>137</v>
      </c>
    </row>
    <row r="20" spans="1:9" x14ac:dyDescent="0.35">
      <c r="H20" s="82">
        <f>SUM(H24:H997)</f>
        <v>349844.65327830875</v>
      </c>
      <c r="I20" s="22" t="s">
        <v>138</v>
      </c>
    </row>
    <row r="22" spans="1:9" x14ac:dyDescent="0.35">
      <c r="H22" s="82">
        <f>H20-H18</f>
        <v>-239155.34672169125</v>
      </c>
      <c r="I22" s="22" t="s">
        <v>139</v>
      </c>
    </row>
    <row r="24" spans="1:9" x14ac:dyDescent="0.35">
      <c r="A24" s="102"/>
      <c r="B24" s="83"/>
      <c r="C24" s="83"/>
      <c r="D24" s="83"/>
      <c r="E24" s="83"/>
      <c r="F24" s="83"/>
      <c r="G24" s="83"/>
      <c r="H24" s="83"/>
      <c r="I24" s="83"/>
    </row>
    <row r="25" spans="1:9" x14ac:dyDescent="0.35">
      <c r="A25" s="97" t="s">
        <v>140</v>
      </c>
    </row>
    <row r="26" spans="1:9" x14ac:dyDescent="0.35">
      <c r="A26" s="43" t="s">
        <v>141</v>
      </c>
      <c r="F26" s="84" t="s">
        <v>142</v>
      </c>
    </row>
    <row r="27" spans="1:9" x14ac:dyDescent="0.35">
      <c r="A27" s="4">
        <f t="shared" ref="A27:A30" si="8">C6</f>
        <v>0</v>
      </c>
      <c r="B27" s="4" t="str">
        <f t="shared" ref="B27:B30" si="9">A6</f>
        <v>Specialist engineer</v>
      </c>
      <c r="F27" s="22" t="s">
        <v>143</v>
      </c>
      <c r="H27" s="55">
        <f>B40/(1+'Main hypotheses'!C26)*C42</f>
        <v>12396.694214876034</v>
      </c>
    </row>
    <row r="28" spans="1:9" x14ac:dyDescent="0.35">
      <c r="A28" s="4">
        <f t="shared" si="8"/>
        <v>1</v>
      </c>
      <c r="B28" s="4" t="str">
        <f t="shared" si="9"/>
        <v>Senior repair person</v>
      </c>
      <c r="F28" s="22" t="s">
        <v>144</v>
      </c>
      <c r="H28" s="55">
        <f>(B39-B40)/(1+'Main hypotheses'!C26)*C43</f>
        <v>8287.0176603057971</v>
      </c>
    </row>
    <row r="29" spans="1:9" x14ac:dyDescent="0.35">
      <c r="A29" s="4">
        <f t="shared" si="8"/>
        <v>1</v>
      </c>
      <c r="B29" s="4" t="str">
        <f t="shared" si="9"/>
        <v>Junior repair person</v>
      </c>
    </row>
    <row r="30" spans="1:9" x14ac:dyDescent="0.35">
      <c r="A30" s="4">
        <f t="shared" si="8"/>
        <v>1</v>
      </c>
      <c r="B30" s="4" t="str">
        <f t="shared" si="9"/>
        <v>Benevolent repair person</v>
      </c>
    </row>
    <row r="31" spans="1:9" x14ac:dyDescent="0.35">
      <c r="A31" s="15">
        <v>0.8</v>
      </c>
      <c r="B31" s="16" t="s">
        <v>40</v>
      </c>
    </row>
    <row r="32" spans="1:9" x14ac:dyDescent="0.35">
      <c r="A32" s="13">
        <f>SUM(A27:A30)*A31</f>
        <v>2.4000000000000004</v>
      </c>
      <c r="B32" s="17" t="s">
        <v>38</v>
      </c>
      <c r="C32" s="18" t="s">
        <v>41</v>
      </c>
      <c r="D32" s="19">
        <f>C18/A33</f>
        <v>0.80436353668261551</v>
      </c>
    </row>
    <row r="33" spans="1:9" x14ac:dyDescent="0.35">
      <c r="A33" s="4">
        <f>A32*220*7.6*60</f>
        <v>240768.00000000003</v>
      </c>
      <c r="B33" s="4" t="s">
        <v>43</v>
      </c>
      <c r="C33" s="4" t="s">
        <v>44</v>
      </c>
    </row>
    <row r="34" spans="1:9" x14ac:dyDescent="0.35">
      <c r="A34" s="35" t="s">
        <v>145</v>
      </c>
      <c r="B34" s="36">
        <f>A33/'Repair Service'!C35</f>
        <v>10463.624511082138</v>
      </c>
      <c r="C34" s="4" t="s">
        <v>146</v>
      </c>
    </row>
    <row r="35" spans="1:9" x14ac:dyDescent="0.35">
      <c r="A35" s="35" t="s">
        <v>147</v>
      </c>
      <c r="B35" s="40">
        <f>B34*SUM('Repair Service'!B30:B32)</f>
        <v>3871.5410691003913</v>
      </c>
      <c r="C35" s="4" t="s">
        <v>146</v>
      </c>
    </row>
    <row r="37" spans="1:9" x14ac:dyDescent="0.35">
      <c r="A37" s="35" t="s">
        <v>57</v>
      </c>
      <c r="B37" s="38">
        <v>60</v>
      </c>
      <c r="C37" s="2" t="s">
        <v>58</v>
      </c>
    </row>
    <row r="38" spans="1:9" x14ac:dyDescent="0.35">
      <c r="A38" s="35" t="s">
        <v>60</v>
      </c>
      <c r="B38" s="41">
        <v>0.2</v>
      </c>
      <c r="C38" s="16" t="s">
        <v>61</v>
      </c>
    </row>
    <row r="39" spans="1:9" x14ac:dyDescent="0.35">
      <c r="A39" s="35" t="s">
        <v>65</v>
      </c>
      <c r="B39" s="44">
        <f>B37*B38</f>
        <v>12</v>
      </c>
      <c r="C39" s="2" t="s">
        <v>58</v>
      </c>
    </row>
    <row r="40" spans="1:9" x14ac:dyDescent="0.35">
      <c r="A40" s="35" t="s">
        <v>69</v>
      </c>
      <c r="B40" s="42">
        <v>5</v>
      </c>
      <c r="C40" s="2" t="s">
        <v>58</v>
      </c>
    </row>
    <row r="42" spans="1:9" x14ac:dyDescent="0.35">
      <c r="A42" s="4" t="s">
        <v>148</v>
      </c>
      <c r="C42" s="71">
        <v>3000</v>
      </c>
      <c r="D42" s="4" t="str">
        <f t="shared" ref="D42:D43" si="10">"--&gt; "&amp;ROUND(C42/44,0)&amp;" objects per week"</f>
        <v>--&gt; 68 objects per week</v>
      </c>
    </row>
    <row r="43" spans="1:9" x14ac:dyDescent="0.35">
      <c r="A43" s="4" t="s">
        <v>149</v>
      </c>
      <c r="C43" s="67">
        <f>B35*SUM('Repair Service'!B30:B32)</f>
        <v>1432.4701955671449</v>
      </c>
      <c r="D43" s="4" t="str">
        <f t="shared" si="10"/>
        <v>--&gt; 33 objects per week</v>
      </c>
    </row>
    <row r="44" spans="1:9" x14ac:dyDescent="0.35">
      <c r="A44" s="102"/>
      <c r="B44" s="83"/>
      <c r="C44" s="83"/>
      <c r="D44" s="83"/>
      <c r="E44" s="83"/>
      <c r="F44" s="83"/>
      <c r="G44" s="83"/>
      <c r="H44" s="83"/>
      <c r="I44" s="83"/>
    </row>
    <row r="46" spans="1:9" x14ac:dyDescent="0.35">
      <c r="A46" s="102"/>
      <c r="B46" s="83"/>
      <c r="C46" s="83"/>
      <c r="D46" s="83"/>
      <c r="E46" s="83"/>
      <c r="F46" s="83"/>
      <c r="G46" s="83"/>
      <c r="H46" s="83"/>
      <c r="I46" s="83"/>
    </row>
    <row r="47" spans="1:9" x14ac:dyDescent="0.35">
      <c r="A47" s="97" t="s">
        <v>150</v>
      </c>
    </row>
    <row r="48" spans="1:9" x14ac:dyDescent="0.35">
      <c r="A48" s="43" t="s">
        <v>141</v>
      </c>
      <c r="F48" s="84" t="s">
        <v>142</v>
      </c>
    </row>
    <row r="49" spans="1:8" x14ac:dyDescent="0.35">
      <c r="A49" s="4">
        <f t="shared" ref="A49:A52" si="11">D6</f>
        <v>0</v>
      </c>
      <c r="B49" s="4" t="str">
        <f t="shared" ref="B49:B52" si="12">A6</f>
        <v>Specialist engineer</v>
      </c>
      <c r="F49" s="22" t="s">
        <v>143</v>
      </c>
      <c r="H49" s="55">
        <f>B62/(1+'Main hypotheses'!C48)*C64</f>
        <v>5000</v>
      </c>
    </row>
    <row r="50" spans="1:8" x14ac:dyDescent="0.35">
      <c r="A50" s="4">
        <f t="shared" si="11"/>
        <v>1</v>
      </c>
      <c r="B50" s="4" t="str">
        <f t="shared" si="12"/>
        <v>Senior repair person</v>
      </c>
      <c r="F50" s="22" t="s">
        <v>144</v>
      </c>
      <c r="H50" s="55">
        <f>(B61-B62)/(1+'Main hypotheses'!C48)*C65</f>
        <v>6267.0571056062563</v>
      </c>
    </row>
    <row r="51" spans="1:8" x14ac:dyDescent="0.35">
      <c r="A51" s="4">
        <f t="shared" si="11"/>
        <v>0</v>
      </c>
      <c r="B51" s="4" t="str">
        <f t="shared" si="12"/>
        <v>Junior repair person</v>
      </c>
    </row>
    <row r="52" spans="1:8" x14ac:dyDescent="0.35">
      <c r="A52" s="4">
        <f t="shared" si="11"/>
        <v>0</v>
      </c>
      <c r="B52" s="4" t="str">
        <f t="shared" si="12"/>
        <v>Benevolent repair person</v>
      </c>
    </row>
    <row r="53" spans="1:8" x14ac:dyDescent="0.35">
      <c r="A53" s="15">
        <v>0.7</v>
      </c>
      <c r="B53" s="16" t="s">
        <v>92</v>
      </c>
    </row>
    <row r="54" spans="1:8" x14ac:dyDescent="0.35">
      <c r="A54" s="13">
        <f>SUM(A49:A52)*A53</f>
        <v>0.7</v>
      </c>
      <c r="B54" s="17" t="s">
        <v>38</v>
      </c>
      <c r="C54" s="18" t="s">
        <v>41</v>
      </c>
      <c r="D54" s="19">
        <f>D18/A55</f>
        <v>1.6627506265664167</v>
      </c>
    </row>
    <row r="55" spans="1:8" x14ac:dyDescent="0.35">
      <c r="A55" s="4">
        <f>A54*220*7.6*60</f>
        <v>70223.999999999985</v>
      </c>
      <c r="B55" s="4" t="s">
        <v>43</v>
      </c>
      <c r="C55" s="4" t="s">
        <v>44</v>
      </c>
    </row>
    <row r="56" spans="1:8" x14ac:dyDescent="0.35">
      <c r="A56" s="35" t="s">
        <v>145</v>
      </c>
      <c r="B56" s="36">
        <f>A55/'Repair Service'!C35</f>
        <v>3051.890482398956</v>
      </c>
      <c r="C56" s="4" t="s">
        <v>146</v>
      </c>
    </row>
    <row r="57" spans="1:8" x14ac:dyDescent="0.35">
      <c r="A57" s="35" t="s">
        <v>147</v>
      </c>
      <c r="B57" s="40">
        <f>B56*SUM('Repair Service'!B30:B32)</f>
        <v>1129.1994784876138</v>
      </c>
      <c r="C57" s="4" t="s">
        <v>146</v>
      </c>
    </row>
    <row r="59" spans="1:8" x14ac:dyDescent="0.35">
      <c r="A59" s="35" t="s">
        <v>57</v>
      </c>
      <c r="B59" s="38">
        <v>100</v>
      </c>
      <c r="C59" s="2" t="s">
        <v>58</v>
      </c>
    </row>
    <row r="60" spans="1:8" x14ac:dyDescent="0.35">
      <c r="A60" s="35" t="s">
        <v>60</v>
      </c>
      <c r="B60" s="41">
        <v>0.2</v>
      </c>
      <c r="C60" s="16" t="s">
        <v>61</v>
      </c>
    </row>
    <row r="61" spans="1:8" x14ac:dyDescent="0.35">
      <c r="A61" s="35" t="s">
        <v>65</v>
      </c>
      <c r="B61" s="44">
        <f>B59*B60</f>
        <v>20</v>
      </c>
      <c r="C61" s="2" t="s">
        <v>58</v>
      </c>
    </row>
    <row r="62" spans="1:8" x14ac:dyDescent="0.35">
      <c r="A62" s="35" t="s">
        <v>69</v>
      </c>
      <c r="B62" s="42">
        <v>5</v>
      </c>
      <c r="C62" s="2" t="s">
        <v>58</v>
      </c>
    </row>
    <row r="64" spans="1:8" x14ac:dyDescent="0.35">
      <c r="A64" s="4" t="s">
        <v>148</v>
      </c>
      <c r="C64" s="71">
        <v>1000</v>
      </c>
      <c r="D64" s="4" t="str">
        <f t="shared" ref="D64:D65" si="13">"--&gt; "&amp;ROUND(C64/44,0)&amp;" objects per week"</f>
        <v>--&gt; 23 objects per week</v>
      </c>
    </row>
    <row r="65" spans="1:9" x14ac:dyDescent="0.35">
      <c r="A65" s="4" t="s">
        <v>149</v>
      </c>
      <c r="C65" s="67">
        <f>B57*SUM('Repair Service'!B30:B32)</f>
        <v>417.8038070404171</v>
      </c>
      <c r="D65" s="4" t="str">
        <f t="shared" si="13"/>
        <v>--&gt; 9 objects per week</v>
      </c>
    </row>
    <row r="66" spans="1:9" x14ac:dyDescent="0.35">
      <c r="A66" s="102"/>
      <c r="B66" s="83"/>
      <c r="C66" s="83"/>
      <c r="D66" s="83"/>
      <c r="E66" s="83"/>
      <c r="F66" s="83"/>
      <c r="G66" s="83"/>
      <c r="H66" s="83"/>
      <c r="I66" s="83"/>
    </row>
    <row r="68" spans="1:9" x14ac:dyDescent="0.35">
      <c r="A68" s="102"/>
      <c r="B68" s="83"/>
      <c r="C68" s="83"/>
      <c r="D68" s="83"/>
      <c r="E68" s="83"/>
      <c r="F68" s="83"/>
      <c r="G68" s="83"/>
      <c r="H68" s="83"/>
      <c r="I68" s="83"/>
    </row>
    <row r="69" spans="1:9" x14ac:dyDescent="0.35">
      <c r="A69" s="97" t="s">
        <v>151</v>
      </c>
    </row>
    <row r="70" spans="1:9" x14ac:dyDescent="0.35">
      <c r="A70" s="43" t="s">
        <v>141</v>
      </c>
      <c r="F70" s="84" t="s">
        <v>142</v>
      </c>
    </row>
    <row r="71" spans="1:9" x14ac:dyDescent="0.35">
      <c r="A71" s="4">
        <f>E10</f>
        <v>2</v>
      </c>
      <c r="B71" s="4" t="str">
        <f>A10</f>
        <v>Coach/animator</v>
      </c>
      <c r="F71" s="22" t="s">
        <v>152</v>
      </c>
      <c r="H71" s="55">
        <f>B86*B87</f>
        <v>33000</v>
      </c>
    </row>
    <row r="72" spans="1:9" x14ac:dyDescent="0.35">
      <c r="A72" s="15">
        <v>0.9</v>
      </c>
      <c r="B72" s="16" t="s">
        <v>153</v>
      </c>
      <c r="F72" s="22" t="s">
        <v>154</v>
      </c>
      <c r="H72" s="55">
        <f>E86*E87</f>
        <v>168960</v>
      </c>
    </row>
    <row r="73" spans="1:9" x14ac:dyDescent="0.35">
      <c r="A73" s="13">
        <f>SUM(A71)*A72</f>
        <v>1.8</v>
      </c>
      <c r="B73" s="17" t="s">
        <v>38</v>
      </c>
      <c r="C73" s="18" t="s">
        <v>41</v>
      </c>
      <c r="D73" s="19">
        <f>E18/A74</f>
        <v>1.1075945862130072</v>
      </c>
    </row>
    <row r="74" spans="1:9" x14ac:dyDescent="0.35">
      <c r="A74" s="4">
        <f>A73*220*7.6*60</f>
        <v>180576</v>
      </c>
      <c r="B74" s="4" t="s">
        <v>43</v>
      </c>
      <c r="C74" s="4" t="s">
        <v>44</v>
      </c>
    </row>
    <row r="75" spans="1:9" x14ac:dyDescent="0.35">
      <c r="A75" s="4" t="s">
        <v>155</v>
      </c>
      <c r="B75" s="67">
        <f>A74/60</f>
        <v>3009.6</v>
      </c>
      <c r="D75" s="85" t="s">
        <v>156</v>
      </c>
      <c r="E75" s="85"/>
      <c r="F75" s="85"/>
    </row>
    <row r="76" spans="1:9" x14ac:dyDescent="0.35">
      <c r="A76" s="4" t="s">
        <v>157</v>
      </c>
      <c r="B76" s="67">
        <f>B75/3</f>
        <v>1003.1999999999999</v>
      </c>
      <c r="D76" s="85">
        <f>B86*2.5*60+E86*60</f>
        <v>150876</v>
      </c>
      <c r="E76" s="85" t="s">
        <v>158</v>
      </c>
      <c r="F76" s="86">
        <f>D76/A74</f>
        <v>0.83552631578947367</v>
      </c>
    </row>
    <row r="78" spans="1:9" x14ac:dyDescent="0.35">
      <c r="A78" s="62" t="s">
        <v>159</v>
      </c>
      <c r="B78" s="63">
        <v>44</v>
      </c>
      <c r="C78" s="16"/>
      <c r="D78" s="60"/>
      <c r="E78" s="61"/>
    </row>
    <row r="79" spans="1:9" x14ac:dyDescent="0.35">
      <c r="A79" s="60"/>
      <c r="B79" s="61"/>
      <c r="C79" s="16"/>
      <c r="D79" s="60"/>
      <c r="E79" s="61"/>
    </row>
    <row r="80" spans="1:9" x14ac:dyDescent="0.35">
      <c r="A80" s="60" t="s">
        <v>96</v>
      </c>
      <c r="B80" s="61"/>
      <c r="C80" s="16"/>
      <c r="D80" s="60" t="s">
        <v>97</v>
      </c>
      <c r="E80" s="61"/>
    </row>
    <row r="81" spans="1:9" x14ac:dyDescent="0.35">
      <c r="A81" s="62" t="s">
        <v>98</v>
      </c>
      <c r="B81" s="61">
        <v>4</v>
      </c>
      <c r="C81" s="16"/>
      <c r="D81" s="62" t="s">
        <v>98</v>
      </c>
      <c r="E81" s="63">
        <v>4</v>
      </c>
    </row>
    <row r="82" spans="1:9" x14ac:dyDescent="0.35">
      <c r="A82" s="62" t="s">
        <v>99</v>
      </c>
      <c r="B82" s="63">
        <v>5</v>
      </c>
      <c r="C82" s="16"/>
      <c r="D82" s="62" t="s">
        <v>100</v>
      </c>
      <c r="E82" s="63">
        <v>2</v>
      </c>
      <c r="F82" s="4" t="s">
        <v>101</v>
      </c>
    </row>
    <row r="83" spans="1:9" x14ac:dyDescent="0.35">
      <c r="A83" s="62" t="s">
        <v>102</v>
      </c>
      <c r="B83" s="63">
        <v>3</v>
      </c>
      <c r="C83" s="16"/>
      <c r="D83" s="62" t="s">
        <v>103</v>
      </c>
      <c r="E83" s="63">
        <v>2</v>
      </c>
      <c r="F83" s="4" t="s">
        <v>104</v>
      </c>
    </row>
    <row r="84" spans="1:9" x14ac:dyDescent="0.35">
      <c r="A84" s="62" t="s">
        <v>108</v>
      </c>
      <c r="B84" s="64">
        <v>0.5</v>
      </c>
      <c r="C84" s="16"/>
      <c r="D84" s="62" t="s">
        <v>106</v>
      </c>
      <c r="E84" s="63">
        <v>8</v>
      </c>
      <c r="F84" s="4" t="s">
        <v>107</v>
      </c>
    </row>
    <row r="85" spans="1:9" x14ac:dyDescent="0.35">
      <c r="C85" s="16"/>
      <c r="D85" s="62" t="s">
        <v>112</v>
      </c>
      <c r="E85" s="64">
        <v>0.8</v>
      </c>
    </row>
    <row r="86" spans="1:9" x14ac:dyDescent="0.35">
      <c r="A86" s="60" t="s">
        <v>160</v>
      </c>
      <c r="B86" s="87">
        <f>B78*B82*B83*B84</f>
        <v>330</v>
      </c>
      <c r="C86" s="16"/>
      <c r="D86" s="60" t="s">
        <v>161</v>
      </c>
      <c r="E86" s="88">
        <f>B78*E81*(E82*E83+E84)*E85</f>
        <v>1689.6000000000001</v>
      </c>
      <c r="G86" s="70"/>
    </row>
    <row r="87" spans="1:9" x14ac:dyDescent="0.35">
      <c r="A87" s="62" t="s">
        <v>105</v>
      </c>
      <c r="B87" s="42">
        <v>100</v>
      </c>
      <c r="D87" s="62" t="s">
        <v>109</v>
      </c>
      <c r="E87" s="42">
        <v>100</v>
      </c>
      <c r="F87" s="4" t="s">
        <v>110</v>
      </c>
    </row>
    <row r="88" spans="1:9" x14ac:dyDescent="0.35">
      <c r="A88" s="102"/>
      <c r="B88" s="83"/>
      <c r="C88" s="83"/>
      <c r="D88" s="83"/>
      <c r="E88" s="83"/>
      <c r="F88" s="83"/>
      <c r="G88" s="83"/>
      <c r="H88" s="83"/>
      <c r="I88" s="83"/>
    </row>
    <row r="90" spans="1:9" x14ac:dyDescent="0.35">
      <c r="A90" s="102"/>
      <c r="B90" s="83"/>
      <c r="C90" s="83"/>
      <c r="D90" s="83"/>
      <c r="E90" s="83"/>
      <c r="F90" s="83"/>
      <c r="G90" s="83"/>
      <c r="H90" s="83"/>
      <c r="I90" s="83"/>
    </row>
    <row r="91" spans="1:9" x14ac:dyDescent="0.35">
      <c r="A91" s="97" t="s">
        <v>135</v>
      </c>
    </row>
    <row r="92" spans="1:9" x14ac:dyDescent="0.35">
      <c r="A92" s="43" t="s">
        <v>141</v>
      </c>
      <c r="F92" s="84" t="s">
        <v>142</v>
      </c>
    </row>
    <row r="93" spans="1:9" x14ac:dyDescent="0.35">
      <c r="A93" s="4">
        <f t="shared" ref="A93:A97" si="14">F6</f>
        <v>0.25</v>
      </c>
      <c r="B93" s="4" t="str">
        <f t="shared" ref="B93:B97" si="15">A6</f>
        <v>Specialist engineer</v>
      </c>
      <c r="F93" s="22" t="s">
        <v>162</v>
      </c>
      <c r="H93" s="55">
        <f>B108*B110</f>
        <v>72000</v>
      </c>
    </row>
    <row r="94" spans="1:9" x14ac:dyDescent="0.35">
      <c r="A94" s="4">
        <f t="shared" si="14"/>
        <v>0.25</v>
      </c>
      <c r="B94" s="4" t="str">
        <f t="shared" si="15"/>
        <v>Senior repair person</v>
      </c>
      <c r="F94" s="22" t="s">
        <v>163</v>
      </c>
      <c r="H94" s="55">
        <f>C108*C110</f>
        <v>36000</v>
      </c>
    </row>
    <row r="95" spans="1:9" x14ac:dyDescent="0.35">
      <c r="A95" s="4">
        <f t="shared" si="14"/>
        <v>0</v>
      </c>
      <c r="B95" s="4" t="str">
        <f t="shared" si="15"/>
        <v>Junior repair person</v>
      </c>
      <c r="F95" s="22" t="s">
        <v>164</v>
      </c>
      <c r="H95" s="55">
        <f>D108*D110</f>
        <v>7933.8842975206617</v>
      </c>
    </row>
    <row r="96" spans="1:9" x14ac:dyDescent="0.35">
      <c r="A96" s="4">
        <f t="shared" si="14"/>
        <v>0</v>
      </c>
      <c r="B96" s="4" t="str">
        <f t="shared" si="15"/>
        <v>Benevolent repair person</v>
      </c>
    </row>
    <row r="97" spans="1:9" x14ac:dyDescent="0.35">
      <c r="A97" s="4">
        <f t="shared" si="14"/>
        <v>0</v>
      </c>
      <c r="B97" s="4" t="str">
        <f t="shared" si="15"/>
        <v>Coach/animator</v>
      </c>
    </row>
    <row r="98" spans="1:9" x14ac:dyDescent="0.35">
      <c r="A98" s="15">
        <v>0.8</v>
      </c>
      <c r="B98" s="16" t="s">
        <v>165</v>
      </c>
    </row>
    <row r="99" spans="1:9" x14ac:dyDescent="0.35">
      <c r="A99" s="13">
        <f>SUM(A93:A97)*A98</f>
        <v>0.4</v>
      </c>
      <c r="B99" s="17" t="s">
        <v>38</v>
      </c>
      <c r="C99" s="18" t="s">
        <v>41</v>
      </c>
      <c r="D99" s="19">
        <f>F18/A100</f>
        <v>1.9578598484848484</v>
      </c>
    </row>
    <row r="100" spans="1:9" x14ac:dyDescent="0.35">
      <c r="A100" s="4">
        <f>A99*220*7.6*60</f>
        <v>40128</v>
      </c>
      <c r="B100" s="4" t="s">
        <v>43</v>
      </c>
      <c r="C100" s="4" t="s">
        <v>44</v>
      </c>
    </row>
    <row r="101" spans="1:9" x14ac:dyDescent="0.35">
      <c r="A101" s="4" t="s">
        <v>166</v>
      </c>
      <c r="B101" s="67">
        <f>A100/(60*3.5)</f>
        <v>191.08571428571429</v>
      </c>
      <c r="D101" s="85" t="s">
        <v>156</v>
      </c>
      <c r="E101" s="85"/>
      <c r="F101" s="85"/>
    </row>
    <row r="102" spans="1:9" x14ac:dyDescent="0.35">
      <c r="B102" s="67"/>
      <c r="D102" s="85">
        <f>3.5*60*B104*(B109+C109+D109)</f>
        <v>37800</v>
      </c>
      <c r="E102" s="85" t="s">
        <v>158</v>
      </c>
      <c r="F102" s="86">
        <f>D102/A100</f>
        <v>0.94198564593301437</v>
      </c>
    </row>
    <row r="104" spans="1:9" x14ac:dyDescent="0.35">
      <c r="A104" s="62" t="s">
        <v>159</v>
      </c>
      <c r="B104" s="63">
        <v>30</v>
      </c>
      <c r="C104" s="16"/>
      <c r="D104" s="60"/>
      <c r="E104" s="61"/>
    </row>
    <row r="105" spans="1:9" x14ac:dyDescent="0.35">
      <c r="A105" s="60"/>
      <c r="B105" s="61"/>
      <c r="C105" s="16"/>
      <c r="D105" s="60"/>
      <c r="E105" s="61"/>
    </row>
    <row r="106" spans="1:9" x14ac:dyDescent="0.35">
      <c r="B106" s="60" t="s">
        <v>167</v>
      </c>
      <c r="C106" s="60" t="s">
        <v>168</v>
      </c>
      <c r="D106" s="60" t="s">
        <v>169</v>
      </c>
      <c r="E106" s="61"/>
      <c r="F106" s="5"/>
      <c r="G106" s="5"/>
      <c r="H106" s="5"/>
      <c r="I106" s="5"/>
    </row>
    <row r="107" spans="1:9" x14ac:dyDescent="0.35">
      <c r="A107" s="62" t="s">
        <v>120</v>
      </c>
      <c r="B107" s="63">
        <v>4</v>
      </c>
      <c r="C107" s="63">
        <v>4</v>
      </c>
      <c r="D107" s="89">
        <v>8</v>
      </c>
      <c r="E107" s="61"/>
      <c r="F107" s="5"/>
      <c r="G107" s="5"/>
      <c r="H107" s="5"/>
      <c r="I107" s="5"/>
    </row>
    <row r="108" spans="1:9" x14ac:dyDescent="0.35">
      <c r="A108" s="62" t="s">
        <v>121</v>
      </c>
      <c r="B108" s="90">
        <v>300</v>
      </c>
      <c r="C108" s="90">
        <v>150</v>
      </c>
      <c r="D108" s="91">
        <f>20/(1+'Main hypotheses'!C26)</f>
        <v>16.528925619834713</v>
      </c>
      <c r="E108" s="61"/>
      <c r="F108" s="5"/>
      <c r="G108" s="5"/>
      <c r="H108" s="5"/>
      <c r="I108" s="5"/>
    </row>
    <row r="109" spans="1:9" x14ac:dyDescent="0.35">
      <c r="A109" s="62" t="s">
        <v>123</v>
      </c>
      <c r="B109" s="63">
        <v>2</v>
      </c>
      <c r="C109" s="63">
        <v>2</v>
      </c>
      <c r="D109" s="89">
        <v>2</v>
      </c>
      <c r="E109" s="61"/>
      <c r="F109" s="5"/>
      <c r="G109" s="5"/>
      <c r="H109" s="5"/>
      <c r="I109" s="5"/>
    </row>
    <row r="110" spans="1:9" x14ac:dyDescent="0.35">
      <c r="A110" s="70" t="s">
        <v>127</v>
      </c>
      <c r="B110" s="5">
        <f t="shared" ref="B110:D110" si="16">$B$104*B107*B109</f>
        <v>240</v>
      </c>
      <c r="C110" s="5">
        <f t="shared" si="16"/>
        <v>240</v>
      </c>
      <c r="D110" s="5">
        <f t="shared" si="16"/>
        <v>480</v>
      </c>
      <c r="E110" s="5"/>
      <c r="F110" s="5"/>
      <c r="G110" s="5"/>
      <c r="H110" s="5"/>
      <c r="I110" s="5"/>
    </row>
    <row r="111" spans="1:9" x14ac:dyDescent="0.35">
      <c r="A111" s="92"/>
      <c r="B111" s="92"/>
      <c r="C111" s="92"/>
      <c r="D111" s="92"/>
      <c r="E111" s="92"/>
      <c r="F111" s="92"/>
      <c r="G111" s="92"/>
      <c r="H111" s="92"/>
      <c r="I111" s="92"/>
    </row>
  </sheetData>
  <mergeCells count="1">
    <mergeCell ref="C1:G1"/>
  </mergeCells>
  <pageMargins left="0" right="0" top="0" bottom="0" header="0" footer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21B2577AFE8D4CB69BCDBD38383483" ma:contentTypeVersion="14" ma:contentTypeDescription="Een nieuw document maken." ma:contentTypeScope="" ma:versionID="3e90fb7f5797905f9b9576cd61e6a6dc">
  <xsd:schema xmlns:xsd="http://www.w3.org/2001/XMLSchema" xmlns:xs="http://www.w3.org/2001/XMLSchema" xmlns:p="http://schemas.microsoft.com/office/2006/metadata/properties" xmlns:ns2="a1ff1072-d40c-4ea3-9535-ab8e392270c7" xmlns:ns3="09e039f6-a275-478f-913d-49fae4b73a11" targetNamespace="http://schemas.microsoft.com/office/2006/metadata/properties" ma:root="true" ma:fieldsID="b723f1e09c4522f35f33e079b7cfb701" ns2:_="" ns3:_="">
    <xsd:import namespace="a1ff1072-d40c-4ea3-9535-ab8e392270c7"/>
    <xsd:import namespace="09e039f6-a275-478f-913d-49fae4b73a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f1072-d40c-4ea3-9535-ab8e392270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f53cdaf1-093c-424c-8f23-272c9d867f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e039f6-a275-478f-913d-49fae4b73a11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ce27c81-79db-43f4-b2e7-de631450871d}" ma:internalName="TaxCatchAll" ma:showField="CatchAllData" ma:web="09e039f6-a275-478f-913d-49fae4b73a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1ff1072-d40c-4ea3-9535-ab8e392270c7">
      <Terms xmlns="http://schemas.microsoft.com/office/infopath/2007/PartnerControls"/>
    </lcf76f155ced4ddcb4097134ff3c332f>
    <TaxCatchAll xmlns="09e039f6-a275-478f-913d-49fae4b73a11" xsi:nil="true"/>
  </documentManagement>
</p:properties>
</file>

<file path=customXml/itemProps1.xml><?xml version="1.0" encoding="utf-8"?>
<ds:datastoreItem xmlns:ds="http://schemas.openxmlformats.org/officeDocument/2006/customXml" ds:itemID="{EA3DF6B2-5C55-40B3-B1EB-12C3F656BA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ff1072-d40c-4ea3-9535-ab8e392270c7"/>
    <ds:schemaRef ds:uri="09e039f6-a275-478f-913d-49fae4b73a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E41D42-A677-4F30-B0BB-FC5B7132FD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61365C-4ED0-4E27-A501-F40E0019DDD8}">
  <ds:schemaRefs>
    <ds:schemaRef ds:uri="http://schemas.microsoft.com/office/2006/documentManagement/types"/>
    <ds:schemaRef ds:uri="http://schemas.microsoft.com/office/2006/metadata/properties"/>
    <ds:schemaRef ds:uri="a1ff1072-d40c-4ea3-9535-ab8e392270c7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09e039f6-a275-478f-913d-49fae4b73a11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Main hypotheses</vt:lpstr>
      <vt:lpstr>Repair Service</vt:lpstr>
      <vt:lpstr>Social Integration Company</vt:lpstr>
      <vt:lpstr>Mobile Repair Service</vt:lpstr>
      <vt:lpstr>Fun &amp; Education Repair Center</vt:lpstr>
      <vt:lpstr>Training Repair Center</vt:lpstr>
      <vt:lpstr>Multi-activities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Marichal</dc:creator>
  <cp:keywords/>
  <dc:description/>
  <cp:lastModifiedBy>Liene Blancke</cp:lastModifiedBy>
  <cp:revision/>
  <dcterms:created xsi:type="dcterms:W3CDTF">2022-02-28T10:07:27Z</dcterms:created>
  <dcterms:modified xsi:type="dcterms:W3CDTF">2023-02-03T10:58:28Z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0x0101002521B2577AFE8D4CB69BCDBD38383483</vt:lpwstr>
  </property>
  <property fmtid="{D5CDD505-2E9C-101B-9397-08002B2CF9AE}" pid="3" name="MediaServiceImageTags">
    <vt:lpwstr/>
  </property>
</Properties>
</file>